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6\"/>
    </mc:Choice>
  </mc:AlternateContent>
  <bookViews>
    <workbookView xWindow="0" yWindow="0" windowWidth="19200" windowHeight="11790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TDB!$A$1:$U$31</definedName>
  </definedNames>
  <calcPr calcId="152511"/>
</workbook>
</file>

<file path=xl/calcChain.xml><?xml version="1.0" encoding="utf-8"?>
<calcChain xmlns="http://schemas.openxmlformats.org/spreadsheetml/2006/main">
  <c r="K23" i="8" l="1"/>
  <c r="K12" i="8"/>
  <c r="J6" i="8"/>
  <c r="M23" i="1"/>
  <c r="L23" i="1"/>
  <c r="K23" i="1"/>
  <c r="J23" i="1"/>
  <c r="I23" i="1"/>
  <c r="H23" i="1"/>
  <c r="G23" i="1"/>
  <c r="F23" i="1"/>
  <c r="E23" i="1"/>
  <c r="D23" i="1"/>
  <c r="C23" i="1"/>
  <c r="B23" i="1"/>
  <c r="N23" i="1" s="1"/>
  <c r="M22" i="1"/>
  <c r="M24" i="1" s="1"/>
  <c r="L22" i="1"/>
  <c r="L25" i="1" s="1"/>
  <c r="K22" i="1"/>
  <c r="K24" i="1" s="1"/>
  <c r="J22" i="1"/>
  <c r="J25" i="1" s="1"/>
  <c r="I22" i="1"/>
  <c r="I24" i="1" s="1"/>
  <c r="H22" i="1"/>
  <c r="H25" i="1" s="1"/>
  <c r="G22" i="1"/>
  <c r="G24" i="1" s="1"/>
  <c r="F22" i="1"/>
  <c r="F25" i="1" s="1"/>
  <c r="E22" i="1"/>
  <c r="E24" i="1" s="1"/>
  <c r="D22" i="1"/>
  <c r="D25" i="1" s="1"/>
  <c r="C22" i="1"/>
  <c r="C24" i="1" s="1"/>
  <c r="B22" i="1"/>
  <c r="B25" i="1" s="1"/>
  <c r="M23" i="2"/>
  <c r="L23" i="2"/>
  <c r="L25" i="2" s="1"/>
  <c r="K23" i="2"/>
  <c r="J23" i="2"/>
  <c r="J25" i="2" s="1"/>
  <c r="I23" i="2"/>
  <c r="H23" i="2"/>
  <c r="H25" i="2" s="1"/>
  <c r="G23" i="2"/>
  <c r="F23" i="2"/>
  <c r="E23" i="2"/>
  <c r="D23" i="2"/>
  <c r="C23" i="2"/>
  <c r="B23" i="2"/>
  <c r="M22" i="2"/>
  <c r="M25" i="2" s="1"/>
  <c r="L22" i="2"/>
  <c r="L24" i="2" s="1"/>
  <c r="K22" i="2"/>
  <c r="K25" i="2" s="1"/>
  <c r="J22" i="2"/>
  <c r="J24" i="2" s="1"/>
  <c r="I22" i="2"/>
  <c r="I25" i="2" s="1"/>
  <c r="H22" i="2"/>
  <c r="H24" i="2" s="1"/>
  <c r="G22" i="2"/>
  <c r="G25" i="2" s="1"/>
  <c r="F22" i="2"/>
  <c r="F24" i="2" s="1"/>
  <c r="E22" i="2"/>
  <c r="E25" i="2" s="1"/>
  <c r="D22" i="2"/>
  <c r="D24" i="2" s="1"/>
  <c r="C22" i="2"/>
  <c r="C25" i="2" s="1"/>
  <c r="B22" i="2"/>
  <c r="B24" i="2" s="1"/>
  <c r="N16" i="2"/>
  <c r="N15" i="2"/>
  <c r="N14" i="2"/>
  <c r="F29" i="4"/>
  <c r="J28" i="4"/>
  <c r="J29" i="4" s="1"/>
  <c r="F28" i="4"/>
  <c r="B28" i="4"/>
  <c r="B29" i="4" s="1"/>
  <c r="N22" i="1" l="1"/>
  <c r="B24" i="1"/>
  <c r="D24" i="1"/>
  <c r="F24" i="1"/>
  <c r="H24" i="1"/>
  <c r="J24" i="1"/>
  <c r="L24" i="1"/>
  <c r="C25" i="1"/>
  <c r="E25" i="1"/>
  <c r="G25" i="1"/>
  <c r="I25" i="1"/>
  <c r="K25" i="1"/>
  <c r="M25" i="1"/>
  <c r="B25" i="2"/>
  <c r="D25" i="2"/>
  <c r="F25" i="2"/>
  <c r="N23" i="2"/>
  <c r="C24" i="2"/>
  <c r="E24" i="2"/>
  <c r="G24" i="2"/>
  <c r="I24" i="2"/>
  <c r="K24" i="2"/>
  <c r="M24" i="2"/>
  <c r="N22" i="2"/>
  <c r="N25" i="1" l="1"/>
  <c r="N24" i="1"/>
  <c r="N24" i="2"/>
  <c r="N25" i="2"/>
  <c r="H6" i="8" s="1"/>
  <c r="N5" i="2" l="1"/>
  <c r="N6" i="2"/>
  <c r="N7" i="2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<sst xmlns="http://schemas.openxmlformats.org/spreadsheetml/2006/main" count="496" uniqueCount="291">
  <si>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</si>
  <si>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</si>
  <si>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</si>
  <si>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</si>
  <si>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</si>
  <si>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</si>
  <si>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</si>
  <si>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</si>
  <si>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</si>
  <si>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</si>
  <si>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</si>
  <si>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</si>
  <si>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</si>
  <si>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</si>
  <si>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</si>
  <si>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</si>
  <si>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</si>
  <si>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</si>
  <si>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</si>
  <si>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</si>
  <si>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</si>
  <si>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</si>
  <si>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</si>
  <si>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</si>
  <si>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</si>
  <si>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</si>
  <si>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</si>
  <si>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</si>
  <si>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</si>
  <si>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</si>
  <si>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</si>
  <si>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</si>
  <si>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</si>
  <si>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</si>
  <si>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</si>
  <si>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</si>
  <si>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</si>
  <si>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</si>
  <si>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</si>
  <si>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</si>
  <si>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</si>
  <si>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</si>
  <si>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</si>
  <si>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</si>
  <si>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</si>
  <si>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</si>
  <si>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</si>
  <si>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</si>
  <si>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</si>
  <si>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</si>
  <si>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</si>
  <si>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</si>
  <si>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</si>
  <si>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</si>
  <si>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</si>
  <si>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</si>
  <si>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</si>
  <si>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</si>
  <si>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</si>
  <si>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</si>
  <si>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</si>
  <si>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</si>
  <si>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</si>
  <si>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</si>
  <si>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</si>
  <si>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</si>
  <si>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</si>
  <si>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</si>
  <si>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</si>
  <si>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</si>
  <si>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</si>
  <si>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</si>
  <si>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</si>
  <si>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</si>
  <si>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</si>
  <si>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</si>
  <si>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</si>
  <si>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</si>
  <si>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</si>
  <si>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</si>
  <si>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</si>
  <si>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</si>
  <si>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</si>
  <si>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</si>
  <si>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</si>
  <si>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</si>
  <si>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</si>
  <si>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</si>
  <si>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</si>
  <si>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</si>
  <si>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</si>
  <si>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</si>
  <si>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</si>
  <si>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</si>
  <si>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</si>
  <si>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</si>
  <si>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</si>
  <si>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</si>
  <si>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</si>
  <si>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</si>
  <si>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</si>
  <si>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</si>
  <si>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</si>
  <si>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</si>
  <si>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</si>
  <si>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</si>
  <si>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</si>
  <si>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</si>
  <si>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</si>
  <si>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</si>
  <si>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</si>
  <si>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</si>
  <si>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</si>
  <si>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</si>
  <si>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</si>
  <si>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</si>
  <si>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</si>
  <si>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</si>
  <si>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</si>
  <si>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</si>
  <si>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</si>
  <si>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</si>
  <si>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</si>
  <si>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</si>
  <si>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</si>
  <si>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</si>
  <si>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</si>
  <si>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</si>
  <si>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</si>
  <si>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</si>
  <si>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</si>
  <si>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</si>
  <si>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</si>
  <si>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</si>
  <si>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</si>
  <si>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</si>
  <si>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</si>
  <si>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</si>
  <si>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</si>
  <si>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</si>
  <si>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</si>
  <si>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</si>
  <si>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</si>
  <si>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</si>
  <si>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</si>
  <si>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</si>
  <si>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</si>
  <si>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</si>
  <si>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</si>
  <si>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</si>
  <si>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</si>
  <si>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</si>
  <si>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</si>
  <si>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</si>
  <si>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</si>
  <si>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</si>
  <si>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</si>
  <si>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</si>
  <si>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</si>
  <si>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</si>
  <si>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</si>
  <si>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</si>
  <si>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</si>
  <si>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</si>
  <si>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</si>
  <si>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</si>
  <si>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</si>
  <si>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</si>
  <si>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</si>
  <si>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</si>
  <si>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</si>
  <si>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</si>
  <si>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</si>
  <si>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</si>
  <si>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</si>
  <si>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</si>
  <si>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</si>
  <si>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</si>
  <si>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</si>
  <si>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</si>
  <si>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</si>
  <si>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</si>
  <si>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</si>
  <si>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</si>
  <si>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</si>
  <si>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</si>
  <si>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</si>
  <si>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</si>
  <si>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</si>
  <si>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</si>
  <si>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</si>
  <si>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</si>
  <si>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</si>
  <si>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</si>
  <si>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</si>
  <si>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</si>
  <si>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</si>
  <si>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</si>
  <si>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</si>
  <si>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</si>
  <si>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</si>
  <si>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</si>
  <si>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</si>
  <si>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</si>
  <si>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</si>
  <si>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</si>
  <si>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</si>
  <si>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</si>
  <si>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</si>
  <si>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</si>
  <si>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</si>
  <si>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</si>
  <si>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</si>
  <si>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</si>
  <si>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</si>
  <si>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</si>
  <si>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Totaux des départements</t>
  </si>
  <si>
    <t>Atteinte prévisionnelle d'objectifs (date)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</si>
  <si>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</si>
  <si>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</si>
  <si>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</si>
  <si>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</si>
  <si>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</si>
  <si>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</si>
  <si>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</si>
  <si>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</si>
  <si>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</si>
  <si>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</si>
  <si>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</si>
  <si>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</si>
  <si>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</si>
  <si>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</si>
  <si>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</si>
  <si>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</si>
  <si>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</si>
  <si>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</si>
  <si>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</si>
  <si>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</si>
  <si>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</si>
  <si>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</si>
  <si>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</si>
  <si>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</si>
  <si>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</si>
  <si>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</si>
  <si>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</si>
  <si>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</si>
  <si>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</si>
  <si>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</si>
  <si>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</si>
  <si>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</si>
  <si>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</si>
  <si>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</si>
  <si>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</si>
  <si>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</si>
  <si>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</si>
  <si>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</si>
  <si>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</si>
  <si>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</si>
  <si>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</si>
  <si>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</si>
  <si>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</si>
  <si>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</si>
  <si>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</si>
  <si>
    <t>Total</t>
  </si>
  <si>
    <r>
      <t xml:space="preserve">Feuille : </t>
    </r>
    <r>
      <rPr>
        <b/>
        <sz val="11"/>
        <color theme="1"/>
        <rFont val="Calibri"/>
        <family val="2"/>
        <scheme val="minor"/>
      </rPr>
      <t>AnneeEnCours</t>
    </r>
  </si>
  <si>
    <t>N5</t>
  </si>
  <si>
    <t>N6</t>
  </si>
  <si>
    <t>N7</t>
  </si>
  <si>
    <t>=SOMME(B5:M5)</t>
  </si>
  <si>
    <t>=SOMME(B6:M6)</t>
  </si>
  <si>
    <t>=SOMME(B7:M7)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</si>
  <si>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</si>
  <si>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Graphique situé à : P19 (jusqu'à S28 approximatif)</t>
  </si>
  <si>
    <t>Séries :</t>
  </si>
  <si>
    <t>Présélection de la plage</t>
  </si>
  <si>
    <t>AnneeEnCours de A4 à N7</t>
  </si>
  <si>
    <t>Au nombre de 13; B4 à N4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</si>
  <si>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TDB (Données du graphique Histogramme Empilé avec Courbe invisible)</t>
    </r>
  </si>
  <si>
    <t>Informations interactives</t>
  </si>
  <si>
    <t>Marge d'exploitation An vs Précédente</t>
  </si>
  <si>
    <t>Objectif mensuel:</t>
  </si>
  <si>
    <t>Objectif mois cum:</t>
  </si>
  <si>
    <t>TOTAL</t>
  </si>
  <si>
    <t>Revenus</t>
  </si>
  <si>
    <t>Dépenses</t>
  </si>
  <si>
    <t>Profit</t>
  </si>
  <si>
    <t>Écart</t>
  </si>
  <si>
    <r>
      <t xml:space="preserve">Revenus de </t>
    </r>
    <r>
      <rPr>
        <b/>
        <sz val="14"/>
        <color rgb="FF002060"/>
        <rFont val="Calibri"/>
        <family val="2"/>
      </rPr>
      <t xml:space="preserve">Mon Entreprise inc. </t>
    </r>
    <r>
      <rPr>
        <sz val="14"/>
        <color rgb="FF002060"/>
        <rFont val="Calibri"/>
        <family val="2"/>
      </rPr>
      <t>pour l'année précédente</t>
    </r>
  </si>
  <si>
    <r>
      <t xml:space="preserve">Dépenses de </t>
    </r>
    <r>
      <rPr>
        <b/>
        <sz val="14"/>
        <color rgb="FFFF0000"/>
        <rFont val="Calibri"/>
        <family val="2"/>
      </rPr>
      <t xml:space="preserve">Mon Entreprise inc. </t>
    </r>
    <r>
      <rPr>
        <sz val="14"/>
        <color rgb="FFFF0000"/>
        <rFont val="Calibri"/>
        <family val="2"/>
      </rPr>
      <t>pour l'année précédente</t>
    </r>
  </si>
  <si>
    <r>
      <t xml:space="preserve">Ratio de </t>
    </r>
    <r>
      <rPr>
        <b/>
        <sz val="14"/>
        <color rgb="FF00B050"/>
        <rFont val="Calibri"/>
        <family val="2"/>
      </rPr>
      <t>Mon Entreprise inc.</t>
    </r>
    <r>
      <rPr>
        <sz val="14"/>
        <color rgb="FF00B050"/>
        <rFont val="Calibri"/>
        <family val="2"/>
      </rPr>
      <t xml:space="preserve"> pour l'année précédente</t>
    </r>
  </si>
  <si>
    <t>Revenus cum  Vs l'an passé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</si>
</sst>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4"/>
      <color rgb="FF002060"/>
      <name val="Calibri"/>
      <family val="2"/>
    </font>
    <font>
      <sz val="14"/>
      <color rgb="FF002060"/>
      <name val="Calibri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rgb="FFFF0000"/>
      <name val="Calibri"/>
      <family val="2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</font>
    <font>
      <sz val="14"/>
      <color rgb="FF00B05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-0.49998474074526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17" applyNumberFormat="0" applyAlignment="0" applyProtection="0"/>
    <xf numFmtId="0" fontId="5" fillId="6" borderId="18" applyNumberFormat="0" applyAlignment="0" applyProtection="0"/>
    <xf numFmtId="0" fontId="4" fillId="0" borderId="20" applyNumberFormat="0" applyFill="0" applyAlignment="0" applyProtection="0"/>
    <xf numFmtId="42" fontId="1" fillId="0" borderId="0" applyFont="0" applyFill="0" applyBorder="0" applyAlignment="0" applyProtection="0"/>
  </cellStyleXfs>
  <cellXfs count="215">
    <xf numFmtId="0" fontId="0" fillId="0" borderId="0" xfId="0"/>
    <xf numFmtId="164" fontId="1" fillId="0" borderId="0" xfId="4" applyNumberFormat="1" applyFont="1"/>
    <xf numFmtId="0" fontId="3" fillId="7" borderId="17" xfId="6" applyFill="1" applyAlignment="1">
      <alignment horizontal="center"/>
    </xf>
    <xf numFmtId="0" fontId="3" fillId="7" borderId="17" xfId="6" applyFill="1" applyAlignment="1">
      <alignment horizontal="left"/>
    </xf>
    <xf numFmtId="0" fontId="3" fillId="8" borderId="17" xfId="6" applyFill="1" applyAlignment="1">
      <alignment horizontal="center"/>
    </xf>
    <xf numFmtId="0" fontId="3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1" xfId="0" applyBorder="1"/>
    <xf numFmtId="165" fontId="9" fillId="10" borderId="5" xfId="5" applyNumberFormat="1" applyFont="1" applyFill="1" applyBorder="1" applyAlignment="1">
      <alignment horizontal="center" vertical="center"/>
    </xf>
    <xf numFmtId="165" fontId="9" fillId="10" borderId="7" xfId="5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right"/>
    </xf>
    <xf numFmtId="0" fontId="10" fillId="0" borderId="8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15" fillId="0" borderId="0" xfId="0" applyFont="1"/>
    <xf numFmtId="0" fontId="10" fillId="0" borderId="8" xfId="0" quotePrefix="1" applyFont="1" applyBorder="1"/>
    <xf numFmtId="0" fontId="4" fillId="0" borderId="0" xfId="0" applyFont="1" applyAlignment="1">
      <alignment vertical="center"/>
    </xf>
    <xf numFmtId="0" fontId="10" fillId="0" borderId="9" xfId="0" quotePrefix="1" applyFont="1" applyBorder="1"/>
    <xf numFmtId="0" fontId="10" fillId="0" borderId="10" xfId="0" quotePrefix="1" applyFont="1" applyBorder="1"/>
    <xf numFmtId="0" fontId="10" fillId="0" borderId="13" xfId="0" applyFont="1" applyBorder="1" applyAlignment="1">
      <alignment horizontal="right"/>
    </xf>
    <xf numFmtId="0" fontId="10" fillId="0" borderId="9" xfId="0" applyFont="1" applyBorder="1"/>
    <xf numFmtId="0" fontId="10" fillId="0" borderId="10" xfId="0" applyFont="1" applyBorder="1"/>
    <xf numFmtId="0" fontId="10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4" fillId="0" borderId="0" xfId="0" applyFont="1"/>
    <xf numFmtId="49" fontId="4" fillId="0" borderId="0" xfId="0" quotePrefix="1" applyNumberFormat="1" applyFont="1"/>
    <xf numFmtId="0" fontId="11" fillId="0" borderId="8" xfId="0" applyFont="1" applyBorder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1" fillId="11" borderId="33" xfId="0" applyFont="1" applyFill="1" applyBorder="1" applyAlignment="1">
      <alignment horizontal="center" vertical="center" wrapText="1"/>
    </xf>
    <xf numFmtId="0" fontId="18" fillId="11" borderId="0" xfId="0" applyFont="1" applyFill="1" applyBorder="1"/>
    <xf numFmtId="0" fontId="6" fillId="11" borderId="0" xfId="0" applyFont="1" applyFill="1" applyBorder="1"/>
    <xf numFmtId="166" fontId="7" fillId="16" borderId="4" xfId="4" applyNumberFormat="1" applyFont="1" applyFill="1" applyBorder="1" applyAlignment="1">
      <alignment horizontal="center" vertical="center"/>
    </xf>
    <xf numFmtId="166" fontId="8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7" fillId="16" borderId="5" xfId="4" applyNumberFormat="1" applyFont="1" applyFill="1" applyBorder="1" applyAlignment="1">
      <alignment horizontal="center" vertical="center"/>
    </xf>
    <xf numFmtId="0" fontId="22" fillId="14" borderId="2" xfId="0" applyFont="1" applyFill="1" applyBorder="1"/>
    <xf numFmtId="0" fontId="22" fillId="14" borderId="1" xfId="0" applyFont="1" applyFill="1" applyBorder="1"/>
    <xf numFmtId="0" fontId="22" fillId="14" borderId="1" xfId="0" applyFont="1" applyFill="1" applyBorder="1" applyAlignment="1">
      <alignment horizontal="right"/>
    </xf>
    <xf numFmtId="0" fontId="22" fillId="14" borderId="1" xfId="0" applyFont="1" applyFill="1" applyBorder="1" applyAlignment="1">
      <alignment horizontal="center"/>
    </xf>
    <xf numFmtId="0" fontId="22" fillId="14" borderId="1" xfId="0" applyFont="1" applyFill="1" applyBorder="1" applyAlignment="1">
      <alignment horizontal="left"/>
    </xf>
    <xf numFmtId="0" fontId="22" fillId="14" borderId="3" xfId="0" applyFont="1" applyFill="1" applyBorder="1"/>
    <xf numFmtId="0" fontId="23" fillId="17" borderId="0" xfId="0" applyFont="1" applyFill="1" applyBorder="1" applyAlignment="1">
      <alignment horizontal="left"/>
    </xf>
    <xf numFmtId="0" fontId="19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/>
    </xf>
    <xf numFmtId="166" fontId="26" fillId="12" borderId="37" xfId="0" applyNumberFormat="1" applyFont="1" applyFill="1" applyBorder="1" applyAlignment="1">
      <alignment horizontal="right"/>
    </xf>
    <xf numFmtId="165" fontId="26" fillId="12" borderId="37" xfId="0" applyNumberFormat="1" applyFont="1" applyFill="1" applyBorder="1" applyAlignment="1"/>
    <xf numFmtId="0" fontId="0" fillId="17" borderId="0" xfId="0" applyFill="1" applyBorder="1" applyAlignment="1">
      <alignment horizontal="right"/>
    </xf>
    <xf numFmtId="0" fontId="11" fillId="0" borderId="10" xfId="0" quotePrefix="1" applyFont="1" applyBorder="1"/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8" xfId="0" quotePrefix="1" applyFont="1" applyBorder="1"/>
    <xf numFmtId="0" fontId="11" fillId="0" borderId="13" xfId="0" applyFont="1" applyBorder="1" applyAlignment="1">
      <alignment horizontal="right"/>
    </xf>
    <xf numFmtId="0" fontId="11" fillId="0" borderId="9" xfId="0" quotePrefix="1" applyFont="1" applyBorder="1"/>
    <xf numFmtId="0" fontId="0" fillId="0" borderId="0" xfId="0" applyFill="1"/>
    <xf numFmtId="0" fontId="4" fillId="0" borderId="0" xfId="0" applyFont="1" applyFill="1"/>
    <xf numFmtId="49" fontId="4" fillId="0" borderId="0" xfId="0" quotePrefix="1" applyNumberFormat="1" applyFont="1" applyFill="1"/>
    <xf numFmtId="0" fontId="10" fillId="0" borderId="13" xfId="0" applyFont="1" applyFill="1" applyBorder="1" applyAlignment="1">
      <alignment horizontal="right"/>
    </xf>
    <xf numFmtId="0" fontId="10" fillId="0" borderId="9" xfId="0" applyFont="1" applyFill="1" applyBorder="1"/>
    <xf numFmtId="0" fontId="10" fillId="0" borderId="8" xfId="0" applyFont="1" applyFill="1" applyBorder="1"/>
    <xf numFmtId="49" fontId="10" fillId="0" borderId="8" xfId="0" quotePrefix="1" applyNumberFormat="1" applyFont="1" applyBorder="1"/>
    <xf numFmtId="49" fontId="10" fillId="0" borderId="8" xfId="0" quotePrefix="1" applyNumberFormat="1" applyFont="1" applyFill="1" applyBorder="1"/>
    <xf numFmtId="0" fontId="10" fillId="0" borderId="12" xfId="0" applyFont="1" applyFill="1" applyBorder="1" applyAlignment="1">
      <alignment horizontal="right"/>
    </xf>
    <xf numFmtId="49" fontId="10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0" fillId="0" borderId="13" xfId="0" quotePrefix="1" applyFont="1" applyBorder="1"/>
    <xf numFmtId="0" fontId="10" fillId="0" borderId="12" xfId="0" quotePrefix="1" applyFont="1" applyBorder="1"/>
    <xf numFmtId="0" fontId="3" fillId="8" borderId="41" xfId="6" applyFill="1" applyBorder="1" applyAlignment="1">
      <alignment horizontal="center"/>
    </xf>
    <xf numFmtId="42" fontId="0" fillId="0" borderId="0" xfId="9" applyFont="1"/>
    <xf numFmtId="0" fontId="23" fillId="18" borderId="34" xfId="0" applyFont="1" applyFill="1" applyBorder="1" applyAlignment="1">
      <alignment horizontal="center"/>
    </xf>
    <xf numFmtId="0" fontId="0" fillId="17" borderId="26" xfId="0" applyFill="1" applyBorder="1"/>
    <xf numFmtId="0" fontId="0" fillId="17" borderId="10" xfId="0" applyFill="1" applyBorder="1"/>
    <xf numFmtId="0" fontId="4" fillId="17" borderId="12" xfId="0" applyFont="1" applyFill="1" applyBorder="1" applyAlignment="1">
      <alignment horizontal="center" vertical="center" textRotation="90"/>
    </xf>
    <xf numFmtId="0" fontId="0" fillId="17" borderId="8" xfId="0" applyFill="1" applyBorder="1"/>
    <xf numFmtId="0" fontId="0" fillId="17" borderId="13" xfId="0" applyFill="1" applyBorder="1" applyAlignment="1"/>
    <xf numFmtId="0" fontId="0" fillId="17" borderId="27" xfId="0" applyFill="1" applyBorder="1" applyAlignment="1"/>
    <xf numFmtId="0" fontId="0" fillId="17" borderId="9" xfId="0" applyFill="1" applyBorder="1"/>
    <xf numFmtId="0" fontId="0" fillId="17" borderId="12" xfId="0" applyFill="1" applyBorder="1"/>
    <xf numFmtId="0" fontId="0" fillId="17" borderId="13" xfId="0" applyFill="1" applyBorder="1"/>
    <xf numFmtId="0" fontId="0" fillId="17" borderId="27" xfId="0" applyFill="1" applyBorder="1"/>
    <xf numFmtId="0" fontId="0" fillId="17" borderId="11" xfId="0" applyFill="1" applyBorder="1"/>
    <xf numFmtId="0" fontId="0" fillId="10" borderId="26" xfId="0" applyFill="1" applyBorder="1"/>
    <xf numFmtId="0" fontId="0" fillId="10" borderId="0" xfId="0" applyFill="1" applyBorder="1" applyAlignment="1">
      <alignment horizontal="right"/>
    </xf>
    <xf numFmtId="0" fontId="23" fillId="17" borderId="27" xfId="0" applyFont="1" applyFill="1" applyBorder="1" applyAlignment="1">
      <alignment horizontal="left"/>
    </xf>
    <xf numFmtId="0" fontId="0" fillId="10" borderId="27" xfId="0" applyFill="1" applyBorder="1"/>
    <xf numFmtId="0" fontId="19" fillId="19" borderId="27" xfId="0" applyFont="1" applyFill="1" applyBorder="1" applyAlignment="1">
      <alignment horizontal="left"/>
    </xf>
    <xf numFmtId="0" fontId="17" fillId="10" borderId="27" xfId="0" applyFont="1" applyFill="1" applyBorder="1" applyAlignment="1"/>
    <xf numFmtId="0" fontId="19" fillId="19" borderId="27" xfId="0" applyFont="1" applyFill="1" applyBorder="1" applyAlignment="1">
      <alignment horizontal="right"/>
    </xf>
    <xf numFmtId="0" fontId="0" fillId="10" borderId="27" xfId="0" applyFill="1" applyBorder="1" applyAlignment="1">
      <alignment horizontal="center"/>
    </xf>
    <xf numFmtId="0" fontId="0" fillId="17" borderId="26" xfId="0" applyFont="1" applyFill="1" applyBorder="1" applyAlignment="1">
      <alignment horizontal="right" indent="2"/>
    </xf>
    <xf numFmtId="0" fontId="0" fillId="17" borderId="10" xfId="0" quotePrefix="1" applyFill="1" applyBorder="1"/>
    <xf numFmtId="42" fontId="0" fillId="17" borderId="8" xfId="0" applyNumberFormat="1" applyFill="1" applyBorder="1"/>
    <xf numFmtId="42" fontId="0" fillId="17" borderId="0" xfId="0" applyNumberFormat="1" applyFill="1" applyBorder="1"/>
    <xf numFmtId="0" fontId="28" fillId="17" borderId="0" xfId="0" applyFont="1" applyFill="1" applyBorder="1"/>
    <xf numFmtId="0" fontId="2" fillId="11" borderId="0" xfId="0" applyFont="1" applyFill="1"/>
    <xf numFmtId="166" fontId="2" fillId="11" borderId="0" xfId="0" applyNumberFormat="1" applyFont="1" applyFill="1"/>
    <xf numFmtId="164" fontId="0" fillId="0" borderId="0" xfId="0" applyNumberFormat="1"/>
    <xf numFmtId="165" fontId="0" fillId="0" borderId="0" xfId="5" applyNumberFormat="1" applyFont="1"/>
    <xf numFmtId="0" fontId="25" fillId="17" borderId="12" xfId="0" applyFont="1" applyFill="1" applyBorder="1" applyAlignment="1">
      <alignment vertical="center"/>
    </xf>
    <xf numFmtId="0" fontId="33" fillId="17" borderId="0" xfId="0" applyFont="1" applyFill="1" applyBorder="1" applyAlignment="1">
      <alignment horizontal="center"/>
    </xf>
    <xf numFmtId="0" fontId="33" fillId="17" borderId="8" xfId="0" applyFont="1" applyFill="1" applyBorder="1" applyAlignment="1">
      <alignment horizontal="center"/>
    </xf>
    <xf numFmtId="0" fontId="33" fillId="17" borderId="26" xfId="0" applyFont="1" applyFill="1" applyBorder="1" applyAlignment="1">
      <alignment horizontal="center"/>
    </xf>
    <xf numFmtId="0" fontId="33" fillId="17" borderId="10" xfId="0" applyFont="1" applyFill="1" applyBorder="1" applyAlignment="1">
      <alignment horizontal="center"/>
    </xf>
    <xf numFmtId="0" fontId="34" fillId="21" borderId="28" xfId="0" applyFont="1" applyFill="1" applyBorder="1" applyAlignment="1">
      <alignment horizontal="center"/>
    </xf>
    <xf numFmtId="0" fontId="34" fillId="21" borderId="1" xfId="0" applyFont="1" applyFill="1" applyBorder="1" applyAlignment="1">
      <alignment horizontal="center"/>
    </xf>
    <xf numFmtId="0" fontId="34" fillId="21" borderId="29" xfId="0" applyFont="1" applyFill="1" applyBorder="1" applyAlignment="1">
      <alignment horizontal="center"/>
    </xf>
    <xf numFmtId="0" fontId="0" fillId="17" borderId="12" xfId="0" applyFill="1" applyBorder="1" applyAlignment="1">
      <alignment horizontal="center"/>
    </xf>
    <xf numFmtId="0" fontId="0" fillId="17" borderId="12" xfId="0" applyFill="1" applyBorder="1" applyAlignment="1">
      <alignment horizontal="right"/>
    </xf>
    <xf numFmtId="0" fontId="0" fillId="17" borderId="0" xfId="0" applyFill="1" applyBorder="1" applyAlignment="1">
      <alignment horizontal="right"/>
    </xf>
    <xf numFmtId="0" fontId="0" fillId="17" borderId="8" xfId="0" applyFill="1" applyBorder="1" applyAlignment="1">
      <alignment horizontal="right"/>
    </xf>
    <xf numFmtId="165" fontId="35" fillId="17" borderId="12" xfId="5" applyNumberFormat="1" applyFont="1" applyFill="1" applyBorder="1" applyAlignment="1">
      <alignment horizontal="center" vertical="center"/>
    </xf>
    <xf numFmtId="165" fontId="35" fillId="17" borderId="0" xfId="5" applyNumberFormat="1" applyFont="1" applyFill="1" applyBorder="1" applyAlignment="1">
      <alignment horizontal="center" vertical="center"/>
    </xf>
    <xf numFmtId="165" fontId="35" fillId="17" borderId="13" xfId="5" applyNumberFormat="1" applyFont="1" applyFill="1" applyBorder="1" applyAlignment="1">
      <alignment horizontal="center" vertical="center"/>
    </xf>
    <xf numFmtId="165" fontId="35" fillId="17" borderId="27" xfId="5" applyNumberFormat="1" applyFont="1" applyFill="1" applyBorder="1" applyAlignment="1">
      <alignment horizontal="center" vertical="center"/>
    </xf>
    <xf numFmtId="165" fontId="24" fillId="17" borderId="0" xfId="5" applyNumberFormat="1" applyFont="1" applyFill="1" applyBorder="1" applyAlignment="1">
      <alignment horizontal="center" vertical="center"/>
    </xf>
    <xf numFmtId="165" fontId="24" fillId="17" borderId="8" xfId="5" applyNumberFormat="1" applyFont="1" applyFill="1" applyBorder="1" applyAlignment="1">
      <alignment horizontal="center" vertical="center"/>
    </xf>
    <xf numFmtId="165" fontId="24" fillId="17" borderId="27" xfId="5" applyNumberFormat="1" applyFont="1" applyFill="1" applyBorder="1" applyAlignment="1">
      <alignment horizontal="center" vertical="center"/>
    </xf>
    <xf numFmtId="165" fontId="24" fillId="17" borderId="9" xfId="5" applyNumberFormat="1" applyFont="1" applyFill="1" applyBorder="1" applyAlignment="1">
      <alignment horizontal="center" vertical="center"/>
    </xf>
    <xf numFmtId="0" fontId="30" fillId="21" borderId="11" xfId="0" applyFont="1" applyFill="1" applyBorder="1" applyAlignment="1">
      <alignment horizontal="center" vertical="center"/>
    </xf>
    <xf numFmtId="0" fontId="30" fillId="21" borderId="26" xfId="0" applyFont="1" applyFill="1" applyBorder="1" applyAlignment="1">
      <alignment horizontal="center" vertical="center"/>
    </xf>
    <xf numFmtId="0" fontId="30" fillId="21" borderId="10" xfId="0" applyFont="1" applyFill="1" applyBorder="1" applyAlignment="1">
      <alignment horizontal="center" vertical="center"/>
    </xf>
    <xf numFmtId="0" fontId="30" fillId="21" borderId="13" xfId="0" applyFont="1" applyFill="1" applyBorder="1" applyAlignment="1">
      <alignment horizontal="center" vertical="center"/>
    </xf>
    <xf numFmtId="0" fontId="30" fillId="21" borderId="27" xfId="0" applyFont="1" applyFill="1" applyBorder="1" applyAlignment="1">
      <alignment horizontal="center" vertical="center"/>
    </xf>
    <xf numFmtId="0" fontId="30" fillId="21" borderId="9" xfId="0" applyFont="1" applyFill="1" applyBorder="1" applyAlignment="1">
      <alignment horizontal="center" vertical="center"/>
    </xf>
    <xf numFmtId="42" fontId="0" fillId="17" borderId="0" xfId="9" applyFont="1" applyFill="1" applyBorder="1" applyAlignment="1">
      <alignment horizontal="right"/>
    </xf>
    <xf numFmtId="42" fontId="0" fillId="17" borderId="8" xfId="0" applyNumberFormat="1" applyFill="1" applyBorder="1" applyAlignment="1">
      <alignment horizontal="center" vertical="center"/>
    </xf>
    <xf numFmtId="0" fontId="23" fillId="18" borderId="0" xfId="0" applyFont="1" applyFill="1" applyBorder="1" applyAlignment="1">
      <alignment horizontal="center"/>
    </xf>
    <xf numFmtId="0" fontId="25" fillId="17" borderId="0" xfId="0" applyFont="1" applyFill="1" applyBorder="1" applyAlignment="1">
      <alignment horizontal="center"/>
    </xf>
    <xf numFmtId="0" fontId="5" fillId="21" borderId="8" xfId="0" applyFont="1" applyFill="1" applyBorder="1" applyAlignment="1">
      <alignment horizontal="center" vertical="center" textRotation="90"/>
    </xf>
    <xf numFmtId="0" fontId="5" fillId="21" borderId="9" xfId="0" applyFont="1" applyFill="1" applyBorder="1" applyAlignment="1">
      <alignment horizontal="center" vertical="center" textRotation="90"/>
    </xf>
    <xf numFmtId="0" fontId="32" fillId="21" borderId="36" xfId="0" applyFont="1" applyFill="1" applyBorder="1" applyAlignment="1">
      <alignment horizontal="center" vertical="center" textRotation="90"/>
    </xf>
    <xf numFmtId="0" fontId="32" fillId="21" borderId="38" xfId="0" applyFont="1" applyFill="1" applyBorder="1" applyAlignment="1">
      <alignment horizontal="center" vertical="center" textRotation="90"/>
    </xf>
    <xf numFmtId="0" fontId="5" fillId="21" borderId="35" xfId="0" applyFont="1" applyFill="1" applyBorder="1" applyAlignment="1">
      <alignment horizontal="center" vertical="center" textRotation="90"/>
    </xf>
    <xf numFmtId="0" fontId="5" fillId="21" borderId="36" xfId="0" applyFont="1" applyFill="1" applyBorder="1" applyAlignment="1">
      <alignment horizontal="center" vertical="center" textRotation="90"/>
    </xf>
    <xf numFmtId="0" fontId="5" fillId="21" borderId="38" xfId="0" applyFont="1" applyFill="1" applyBorder="1" applyAlignment="1">
      <alignment horizontal="center" vertical="center" textRotation="90"/>
    </xf>
    <xf numFmtId="0" fontId="31" fillId="21" borderId="11" xfId="0" applyFont="1" applyFill="1" applyBorder="1" applyAlignment="1">
      <alignment horizontal="center" vertical="center" textRotation="90" wrapText="1"/>
    </xf>
    <xf numFmtId="0" fontId="31" fillId="21" borderId="10" xfId="0" applyFont="1" applyFill="1" applyBorder="1" applyAlignment="1">
      <alignment horizontal="center" vertical="center" textRotation="90" wrapText="1"/>
    </xf>
    <xf numFmtId="0" fontId="31" fillId="21" borderId="12" xfId="0" applyFont="1" applyFill="1" applyBorder="1" applyAlignment="1">
      <alignment horizontal="center" vertical="center" textRotation="90" wrapText="1"/>
    </xf>
    <xf numFmtId="0" fontId="31" fillId="21" borderId="8" xfId="0" applyFont="1" applyFill="1" applyBorder="1" applyAlignment="1">
      <alignment horizontal="center" vertical="center" textRotation="90" wrapText="1"/>
    </xf>
    <xf numFmtId="0" fontId="31" fillId="21" borderId="13" xfId="0" applyFont="1" applyFill="1" applyBorder="1" applyAlignment="1">
      <alignment horizontal="center" vertical="center" textRotation="90" wrapText="1"/>
    </xf>
    <xf numFmtId="0" fontId="31" fillId="21" borderId="9" xfId="0" applyFont="1" applyFill="1" applyBorder="1" applyAlignment="1">
      <alignment horizontal="center" vertical="center" textRotation="90" wrapText="1"/>
    </xf>
    <xf numFmtId="0" fontId="27" fillId="17" borderId="11" xfId="0" applyFont="1" applyFill="1" applyBorder="1" applyAlignment="1">
      <alignment horizontal="center"/>
    </xf>
    <xf numFmtId="0" fontId="27" fillId="17" borderId="26" xfId="0" applyFont="1" applyFill="1" applyBorder="1" applyAlignment="1">
      <alignment horizontal="center"/>
    </xf>
    <xf numFmtId="0" fontId="27" fillId="17" borderId="10" xfId="0" applyFont="1" applyFill="1" applyBorder="1" applyAlignment="1">
      <alignment horizontal="center"/>
    </xf>
    <xf numFmtId="0" fontId="27" fillId="17" borderId="12" xfId="0" applyFont="1" applyFill="1" applyBorder="1" applyAlignment="1">
      <alignment horizontal="center"/>
    </xf>
    <xf numFmtId="0" fontId="27" fillId="17" borderId="0" xfId="0" applyFont="1" applyFill="1" applyBorder="1" applyAlignment="1">
      <alignment horizontal="center"/>
    </xf>
    <xf numFmtId="0" fontId="27" fillId="17" borderId="8" xfId="0" applyFont="1" applyFill="1" applyBorder="1" applyAlignment="1">
      <alignment horizontal="center"/>
    </xf>
    <xf numFmtId="0" fontId="25" fillId="17" borderId="26" xfId="0" applyFont="1" applyFill="1" applyBorder="1" applyAlignment="1">
      <alignment horizontal="center"/>
    </xf>
    <xf numFmtId="0" fontId="33" fillId="17" borderId="11" xfId="0" applyFont="1" applyFill="1" applyBorder="1" applyAlignment="1">
      <alignment horizontal="center"/>
    </xf>
    <xf numFmtId="0" fontId="33" fillId="17" borderId="26" xfId="0" applyFont="1" applyFill="1" applyBorder="1" applyAlignment="1">
      <alignment horizontal="center"/>
    </xf>
    <xf numFmtId="0" fontId="33" fillId="17" borderId="10" xfId="0" applyFont="1" applyFill="1" applyBorder="1" applyAlignment="1">
      <alignment horizontal="center"/>
    </xf>
    <xf numFmtId="0" fontId="10" fillId="0" borderId="28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7" fillId="15" borderId="25" xfId="7" applyFont="1" applyFill="1" applyBorder="1" applyAlignment="1">
      <alignment horizontal="center"/>
    </xf>
    <xf numFmtId="0" fontId="17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22" fillId="14" borderId="14" xfId="1" applyFont="1" applyFill="1" applyBorder="1" applyAlignment="1">
      <alignment horizontal="center"/>
    </xf>
    <xf numFmtId="0" fontId="22" fillId="14" borderId="15" xfId="1" applyFont="1" applyFill="1" applyBorder="1" applyAlignment="1">
      <alignment horizontal="center"/>
    </xf>
    <xf numFmtId="0" fontId="22" fillId="14" borderId="16" xfId="1" applyFont="1" applyFill="1" applyBorder="1" applyAlignment="1">
      <alignment horizontal="center"/>
    </xf>
    <xf numFmtId="0" fontId="12" fillId="11" borderId="0" xfId="3" applyFont="1" applyFill="1" applyAlignment="1">
      <alignment horizontal="center" vertical="center"/>
    </xf>
    <xf numFmtId="0" fontId="13" fillId="11" borderId="0" xfId="3" applyFont="1" applyFill="1" applyAlignment="1">
      <alignment horizontal="center" vertical="center"/>
    </xf>
    <xf numFmtId="0" fontId="20" fillId="14" borderId="14" xfId="1" applyFont="1" applyFill="1" applyBorder="1" applyAlignment="1">
      <alignment horizontal="center"/>
    </xf>
    <xf numFmtId="0" fontId="20" fillId="14" borderId="15" xfId="1" applyFont="1" applyFill="1" applyBorder="1" applyAlignment="1">
      <alignment horizontal="center"/>
    </xf>
    <xf numFmtId="0" fontId="20" fillId="14" borderId="16" xfId="1" applyFont="1" applyFill="1" applyBorder="1" applyAlignment="1">
      <alignment horizontal="center"/>
    </xf>
    <xf numFmtId="0" fontId="14" fillId="13" borderId="0" xfId="2" applyFont="1" applyFill="1" applyBorder="1" applyAlignment="1">
      <alignment horizontal="center"/>
    </xf>
    <xf numFmtId="0" fontId="14" fillId="13" borderId="0" xfId="2" applyFont="1" applyFill="1" applyAlignment="1">
      <alignment horizontal="center"/>
    </xf>
    <xf numFmtId="0" fontId="36" fillId="0" borderId="19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42" fillId="0" borderId="19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5" fillId="6" borderId="18" xfId="7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18" fillId="6" borderId="18" xfId="7" applyFont="1" applyAlignment="1">
      <alignment horizontal="center" vertical="center" wrapText="1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" fillId="0" borderId="20" xfId="8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AnneeEnCours!$B$4</c:f>
              <c:strCache>
                <c:ptCount val="1"/>
                <c:pt idx="0">
                  <c:v>Janvier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AnneeEnCours!$B$5:$B$7</c:f>
              <c:numCache>
                <c:formatCode>_ * #\ ##0_)\ "$"_ ;_ * \(#\ ##0\)\ "$"_ ;_ * "-"??_)\ "$"_ ;_ @_ </c:formatCode>
                <c:ptCount val="3"/>
                <c:pt idx="0">
                  <c:v>14355</c:v>
                </c:pt>
                <c:pt idx="1">
                  <c:v>19068</c:v>
                </c:pt>
                <c:pt idx="2">
                  <c:v>9870</c:v>
                </c:pt>
              </c:numCache>
            </c:numRef>
          </c:val>
        </c:ser>
        <c:ser>
          <c:idx val="1"/>
          <c:order val="1"/>
          <c:tx>
            <c:strRef>
              <c:f>AnneeEnCours!$C$4</c:f>
              <c:strCache>
                <c:ptCount val="1"/>
                <c:pt idx="0">
                  <c:v>Février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AnneeEnCours!$C$5:$C$7</c:f>
              <c:numCache>
                <c:formatCode>_ * #\ ##0_)\ "$"_ ;_ * \(#\ ##0\)\ "$"_ ;_ * "-"??_)\ "$"_ ;_ @_ </c:formatCode>
                <c:ptCount val="3"/>
                <c:pt idx="0">
                  <c:v>16200</c:v>
                </c:pt>
                <c:pt idx="1">
                  <c:v>19804.21</c:v>
                </c:pt>
                <c:pt idx="2">
                  <c:v>9875</c:v>
                </c:pt>
              </c:numCache>
            </c:numRef>
          </c:val>
        </c:ser>
        <c:ser>
          <c:idx val="2"/>
          <c:order val="2"/>
          <c:tx>
            <c:strRef>
              <c:f>AnneeEnCours!$D$4</c:f>
              <c:strCache>
                <c:ptCount val="1"/>
                <c:pt idx="0">
                  <c:v>Mars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AnneeEnCours!$D$5:$D$7</c:f>
              <c:numCache>
                <c:formatCode>_ * #\ ##0_)\ "$"_ ;_ * \(#\ ##0\)\ "$"_ ;_ * "-"??_)\ "$"_ ;_ @_ </c:formatCode>
                <c:ptCount val="3"/>
                <c:pt idx="0">
                  <c:v>15154</c:v>
                </c:pt>
                <c:pt idx="1">
                  <c:v>20316.990000000002</c:v>
                </c:pt>
                <c:pt idx="2">
                  <c:v>9505</c:v>
                </c:pt>
              </c:numCache>
            </c:numRef>
          </c:val>
        </c:ser>
        <c:ser>
          <c:idx val="3"/>
          <c:order val="3"/>
          <c:tx>
            <c:strRef>
              <c:f>AnneeEnCours!$E$4</c:f>
              <c:strCache>
                <c:ptCount val="1"/>
                <c:pt idx="0">
                  <c:v>Avril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AnneeEnCours!$E$5:$E$7</c:f>
              <c:numCache>
                <c:formatCode>_ * #\ ##0_)\ "$"_ ;_ * \(#\ ##0\)\ "$"_ ;_ * "-"??_)\ "$"_ ;_ @_ </c:formatCode>
                <c:ptCount val="3"/>
                <c:pt idx="0">
                  <c:v>12005</c:v>
                </c:pt>
                <c:pt idx="1">
                  <c:v>22162</c:v>
                </c:pt>
                <c:pt idx="2">
                  <c:v>9505</c:v>
                </c:pt>
              </c:numCache>
            </c:numRef>
          </c:val>
        </c:ser>
        <c:ser>
          <c:idx val="4"/>
          <c:order val="4"/>
          <c:tx>
            <c:strRef>
              <c:f>AnneeEnCours!$F$4</c:f>
              <c:strCache>
                <c:ptCount val="1"/>
                <c:pt idx="0">
                  <c:v>Mai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AnneeEnCours!$F$5:$F$7</c:f>
              <c:numCache>
                <c:formatCode>_ * #\ ##0_)\ "$"_ ;_ * \(#\ ##0\)\ "$"_ ;_ * "-"??_)\ "$"_ ;_ @_ </c:formatCode>
                <c:ptCount val="3"/>
                <c:pt idx="0">
                  <c:v>19877</c:v>
                </c:pt>
                <c:pt idx="1">
                  <c:v>28550</c:v>
                </c:pt>
                <c:pt idx="2">
                  <c:v>8550</c:v>
                </c:pt>
              </c:numCache>
            </c:numRef>
          </c:val>
        </c:ser>
        <c:ser>
          <c:idx val="5"/>
          <c:order val="5"/>
          <c:tx>
            <c:strRef>
              <c:f>AnneeEnCours!$G$4</c:f>
              <c:strCache>
                <c:ptCount val="1"/>
                <c:pt idx="0">
                  <c:v>Juin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AnneeEnCours!$G$5:$G$7</c:f>
              <c:numCache>
                <c:formatCode>_ * #\ ##0_)\ "$"_ ;_ * \(#\ ##0\)\ "$"_ ;_ * "-"??_)\ "$"_ ;_ @_ </c:formatCode>
                <c:ptCount val="3"/>
                <c:pt idx="0">
                  <c:v>18770</c:v>
                </c:pt>
                <c:pt idx="1">
                  <c:v>29217</c:v>
                </c:pt>
                <c:pt idx="2">
                  <c:v>8245</c:v>
                </c:pt>
              </c:numCache>
            </c:numRef>
          </c:val>
        </c:ser>
        <c:ser>
          <c:idx val="6"/>
          <c:order val="6"/>
          <c:tx>
            <c:strRef>
              <c:f>AnneeEnCours!$H$4</c:f>
              <c:strCache>
                <c:ptCount val="1"/>
                <c:pt idx="0">
                  <c:v>Juillet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AnneeEnCours!$H$5:$H$7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7"/>
          <c:order val="7"/>
          <c:tx>
            <c:strRef>
              <c:f>AnneeEnCours!$I$4</c:f>
              <c:strCache>
                <c:ptCount val="1"/>
                <c:pt idx="0">
                  <c:v>Août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AnneeEnCours!$I$5:$I$7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8"/>
          <c:order val="8"/>
          <c:tx>
            <c:strRef>
              <c:f>AnneeEnCours!$J$4</c:f>
              <c:strCache>
                <c:ptCount val="1"/>
                <c:pt idx="0">
                  <c:v>Septembre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AnneeEnCours!$J$5:$J$7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9"/>
          <c:order val="9"/>
          <c:tx>
            <c:strRef>
              <c:f>AnneeEnCours!$K$4</c:f>
              <c:strCache>
                <c:ptCount val="1"/>
                <c:pt idx="0">
                  <c:v>Octobre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AnneeEnCours!$K$5:$K$7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0"/>
          <c:order val="10"/>
          <c:tx>
            <c:strRef>
              <c:f>AnneeEnCours!$L$4</c:f>
              <c:strCache>
                <c:ptCount val="1"/>
                <c:pt idx="0">
                  <c:v>Novembre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AnneeEnCours!$L$5:$L$7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1"/>
          <c:order val="11"/>
          <c:tx>
            <c:strRef>
              <c:f>AnneeEnCours!$M$4</c:f>
              <c:strCache>
                <c:ptCount val="1"/>
                <c:pt idx="0">
                  <c:v>Décembre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AnneeEnCours!$M$5:$M$7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193568"/>
        <c:axId val="323193960"/>
      </c:barChart>
      <c:lineChart>
        <c:grouping val="standard"/>
        <c:varyColors val="0"/>
        <c:ser>
          <c:idx val="12"/>
          <c:order val="12"/>
          <c:tx>
            <c:strRef>
              <c:f>AnneeEnCours!$N$4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AnneeEnCours!$N$5:$N$7</c:f>
              <c:numCache>
                <c:formatCode>_("$"* #,##0_);_("$"* \(#,##0\);_("$"* "-"_);_(@_)</c:formatCode>
                <c:ptCount val="3"/>
                <c:pt idx="0">
                  <c:v>96361</c:v>
                </c:pt>
                <c:pt idx="1">
                  <c:v>139118.20000000001</c:v>
                </c:pt>
                <c:pt idx="2">
                  <c:v>55550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94744"/>
        <c:axId val="323194352"/>
      </c:lineChart>
      <c:catAx>
        <c:axId val="32319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193960"/>
        <c:crosses val="autoZero"/>
        <c:auto val="1"/>
        <c:lblAlgn val="ctr"/>
        <c:lblOffset val="100"/>
        <c:noMultiLvlLbl val="0"/>
      </c:catAx>
      <c:valAx>
        <c:axId val="32319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193568"/>
        <c:crosses val="autoZero"/>
        <c:crossBetween val="between"/>
      </c:valAx>
      <c:valAx>
        <c:axId val="323194352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23194744"/>
        <c:crosses val="max"/>
        <c:crossBetween val="between"/>
      </c:valAx>
      <c:catAx>
        <c:axId val="323194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3194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195528"/>
        <c:axId val="323195920"/>
      </c:barChart>
      <c:catAx>
        <c:axId val="32319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195920"/>
        <c:crosses val="autoZero"/>
        <c:auto val="1"/>
        <c:lblAlgn val="ctr"/>
        <c:lblOffset val="100"/>
        <c:noMultiLvlLbl val="0"/>
      </c:catAx>
      <c:valAx>
        <c:axId val="32319592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195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086456"/>
        <c:axId val="327086848"/>
      </c:barChart>
      <c:catAx>
        <c:axId val="32708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6848"/>
        <c:crosses val="autoZero"/>
        <c:auto val="1"/>
        <c:lblAlgn val="ctr"/>
        <c:lblOffset val="100"/>
        <c:noMultiLvlLbl val="0"/>
      </c:catAx>
      <c:valAx>
        <c:axId val="32708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6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7087632"/>
        <c:axId val="327088024"/>
      </c:barChart>
      <c:catAx>
        <c:axId val="3270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8024"/>
        <c:crosses val="autoZero"/>
        <c:auto val="1"/>
        <c:lblAlgn val="ctr"/>
        <c:lblOffset val="100"/>
        <c:noMultiLvlLbl val="0"/>
      </c:catAx>
      <c:valAx>
        <c:axId val="32708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7632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7088808"/>
        <c:axId val="327089200"/>
      </c:barChart>
      <c:catAx>
        <c:axId val="327088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9200"/>
        <c:crosses val="autoZero"/>
        <c:auto val="1"/>
        <c:lblAlgn val="ctr"/>
        <c:lblOffset val="100"/>
        <c:noMultiLvlLbl val="0"/>
      </c:catAx>
      <c:valAx>
        <c:axId val="32708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8808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7090376"/>
        <c:axId val="327090768"/>
      </c:barChart>
      <c:catAx>
        <c:axId val="327090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90768"/>
        <c:crosses val="autoZero"/>
        <c:auto val="1"/>
        <c:lblAlgn val="ctr"/>
        <c:lblOffset val="100"/>
        <c:noMultiLvlLbl val="0"/>
      </c:catAx>
      <c:valAx>
        <c:axId val="32709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90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7091552"/>
        <c:axId val="327091944"/>
      </c:lineChart>
      <c:catAx>
        <c:axId val="32709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91944"/>
        <c:crosses val="autoZero"/>
        <c:auto val="1"/>
        <c:lblAlgn val="ctr"/>
        <c:lblOffset val="100"/>
        <c:noMultiLvlLbl val="0"/>
      </c:catAx>
      <c:valAx>
        <c:axId val="32709194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91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7086064"/>
        <c:axId val="327085672"/>
      </c:barChart>
      <c:catAx>
        <c:axId val="327086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5672"/>
        <c:crosses val="autoZero"/>
        <c:auto val="1"/>
        <c:lblAlgn val="ctr"/>
        <c:lblOffset val="100"/>
        <c:noMultiLvlLbl val="0"/>
      </c:catAx>
      <c:valAx>
        <c:axId val="327085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8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7093120"/>
        <c:axId val="323197096"/>
      </c:lineChart>
      <c:catAx>
        <c:axId val="32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197096"/>
        <c:crosses val="autoZero"/>
        <c:auto val="1"/>
        <c:lblAlgn val="ctr"/>
        <c:lblOffset val="100"/>
        <c:noMultiLvlLbl val="0"/>
      </c:catAx>
      <c:valAx>
        <c:axId val="32319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709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</xdr:row>
          <xdr:rowOff>19050</xdr:rowOff>
        </xdr:from>
        <xdr:to>
          <xdr:col>18</xdr:col>
          <xdr:colOff>704850</xdr:colOff>
          <xdr:row>8</xdr:row>
          <xdr:rowOff>180975</xdr:rowOff>
        </xdr:to>
        <xdr:pic>
          <xdr:nvPicPr>
            <xdr:cNvPr id="3" name="ImageAnEncours"/>
            <xdr:cNvPicPr>
              <a:picLocks noChangeAspect="1"/>
              <a:extLst>
                <a:ext uri="{84589F7E-364E-4C9E-8A38-B11213B215E9}">
                  <a14:cameraTool cellRange="I_Graph1" spid="_x0000_s724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91900" y="36195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38100</xdr:rowOff>
        </xdr:from>
        <xdr:to>
          <xdr:col>19</xdr:col>
          <xdr:colOff>0</xdr:colOff>
          <xdr:row>18</xdr:row>
          <xdr:rowOff>180975</xdr:rowOff>
        </xdr:to>
        <xdr:pic>
          <xdr:nvPicPr>
            <xdr:cNvPr id="5" name="ImageAnPrecedente"/>
            <xdr:cNvPicPr>
              <a:picLocks noChangeAspect="1"/>
              <a:extLst>
                <a:ext uri="{84589F7E-364E-4C9E-8A38-B11213B215E9}">
                  <a14:cameraTool cellRange="I_Graph2" spid="_x0000_s724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401425" y="22098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15</xdr:col>
      <xdr:colOff>9525</xdr:colOff>
      <xdr:row>20</xdr:row>
      <xdr:rowOff>19049</xdr:rowOff>
    </xdr:from>
    <xdr:to>
      <xdr:col>18</xdr:col>
      <xdr:colOff>710400</xdr:colOff>
      <xdr:row>30</xdr:row>
      <xdr:rowOff>95024</xdr:rowOff>
    </xdr:to>
    <xdr:graphicFrame macro="">
      <xdr:nvGraphicFramePr>
        <xdr:cNvPr id="6" name="GraphTotauxDep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AnHist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AnPHist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An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AnP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An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An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AnP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AnP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zoomScaleNormal="100" workbookViewId="0">
      <selection activeCell="I13" sqref="I13:I14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8" width="6.7109375" customWidth="1"/>
    <col min="9" max="10" width="12.7109375" customWidth="1"/>
    <col min="11" max="11" width="11.570312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5" customFormat="1" ht="3.95" customHeight="1" x14ac:dyDescent="0.25">
      <c r="A1" s="10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102"/>
      <c r="O1" s="102"/>
      <c r="P1" s="102"/>
      <c r="Q1" s="102"/>
      <c r="R1" s="102"/>
      <c r="S1" s="91"/>
      <c r="T1" s="91"/>
      <c r="U1" s="92"/>
    </row>
    <row r="2" spans="1:26" ht="20.100000000000001" customHeight="1" x14ac:dyDescent="0.3">
      <c r="A2" s="98"/>
      <c r="B2" s="58" t="s">
        <v>205</v>
      </c>
      <c r="C2" s="90" t="s">
        <v>13</v>
      </c>
      <c r="D2" s="62" t="s">
        <v>206</v>
      </c>
      <c r="E2" s="90" t="s">
        <v>2</v>
      </c>
      <c r="F2" s="56"/>
      <c r="G2" s="58"/>
      <c r="H2" s="58"/>
      <c r="I2" s="58"/>
      <c r="J2" s="58"/>
      <c r="K2" s="58"/>
      <c r="L2" s="58"/>
      <c r="M2" s="58"/>
      <c r="N2" s="103" t="s">
        <v>207</v>
      </c>
      <c r="O2" s="103"/>
      <c r="P2" s="147" t="s">
        <v>177</v>
      </c>
      <c r="Q2" s="147"/>
      <c r="R2" s="147"/>
      <c r="S2" s="147"/>
      <c r="T2" s="58"/>
      <c r="U2" s="94"/>
      <c r="V2" s="35"/>
      <c r="W2" s="35"/>
      <c r="X2" s="35"/>
      <c r="Y2" s="35"/>
      <c r="Z2" s="35"/>
    </row>
    <row r="3" spans="1:26" ht="3.95" customHeight="1" x14ac:dyDescent="0.35">
      <c r="A3" s="99"/>
      <c r="B3" s="100"/>
      <c r="C3" s="104"/>
      <c r="D3" s="100"/>
      <c r="E3" s="104"/>
      <c r="F3" s="104"/>
      <c r="G3" s="100"/>
      <c r="H3" s="100"/>
      <c r="I3" s="105"/>
      <c r="J3" s="106"/>
      <c r="K3" s="107"/>
      <c r="L3" s="107"/>
      <c r="M3" s="108"/>
      <c r="N3" s="105"/>
      <c r="O3" s="105"/>
      <c r="P3" s="109"/>
      <c r="Q3" s="109"/>
      <c r="R3" s="109"/>
      <c r="S3" s="100"/>
      <c r="T3" s="100"/>
      <c r="U3" s="97"/>
      <c r="V3" s="35"/>
      <c r="W3" s="35"/>
      <c r="X3" s="35"/>
      <c r="Y3" s="35"/>
      <c r="Z3" s="35"/>
    </row>
    <row r="4" spans="1:26" ht="9.9499999999999993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57"/>
      <c r="M4" s="151" t="s">
        <v>174</v>
      </c>
      <c r="N4" s="149" t="s">
        <v>130</v>
      </c>
      <c r="O4" s="93"/>
      <c r="P4" s="58"/>
      <c r="Q4" s="58"/>
      <c r="R4" s="58"/>
      <c r="S4" s="58"/>
      <c r="T4" s="58"/>
      <c r="U4" s="94"/>
      <c r="V4" s="35"/>
      <c r="W4" s="35"/>
      <c r="X4" s="35"/>
      <c r="Y4" s="35"/>
      <c r="Z4" s="35"/>
    </row>
    <row r="5" spans="1:26" ht="18" customHeight="1" x14ac:dyDescent="0.25">
      <c r="A5" s="101"/>
      <c r="B5" s="91"/>
      <c r="C5" s="110" t="s">
        <v>208</v>
      </c>
      <c r="D5" s="110" t="s">
        <v>209</v>
      </c>
      <c r="E5" s="110" t="s">
        <v>210</v>
      </c>
      <c r="F5" s="92"/>
      <c r="G5" s="35"/>
      <c r="H5" s="169" t="s">
        <v>130</v>
      </c>
      <c r="I5" s="170"/>
      <c r="J5" s="170" t="s">
        <v>175</v>
      </c>
      <c r="K5" s="171"/>
      <c r="L5" s="35"/>
      <c r="M5" s="151"/>
      <c r="N5" s="149"/>
      <c r="O5" s="93"/>
      <c r="P5" s="58"/>
      <c r="Q5" s="58"/>
      <c r="R5" s="58"/>
      <c r="S5" s="58"/>
      <c r="T5" s="58"/>
      <c r="U5" s="94"/>
      <c r="V5" s="35"/>
      <c r="W5" s="35"/>
      <c r="X5" s="35"/>
      <c r="Y5" s="35"/>
      <c r="Z5" s="35"/>
    </row>
    <row r="6" spans="1:26" ht="33.75" x14ac:dyDescent="0.5">
      <c r="A6" s="98"/>
      <c r="B6" s="59" t="s">
        <v>212</v>
      </c>
      <c r="C6" s="60">
        <f ca="1">INDEX(D_Annee,MATCH(C2,L_Dept,0)+1,MATCH(E2,L_MoisCum,0))</f>
        <v>20316.990000000002</v>
      </c>
      <c r="D6" s="60">
        <f ca="1">INDEX(D_AnneeP,MATCH(C2,L_Dept,0)+1,MATCH(E2,L_MoisCum,0))</f>
        <v>27660</v>
      </c>
      <c r="E6" s="61">
        <f ca="1">(C6/D6)-1</f>
        <v>-0.26547396963123637</v>
      </c>
      <c r="F6" s="94"/>
      <c r="G6" s="35"/>
      <c r="H6" s="131">
        <f>AnneeEnCours!N25</f>
        <v>0.14729636236629418</v>
      </c>
      <c r="I6" s="132"/>
      <c r="J6" s="135">
        <f>AnneePrecedente!N25</f>
        <v>0.11584372692328526</v>
      </c>
      <c r="K6" s="136"/>
      <c r="L6" s="35"/>
      <c r="M6" s="151"/>
      <c r="N6" s="149"/>
      <c r="O6" s="93"/>
      <c r="P6" s="58"/>
      <c r="Q6" s="58"/>
      <c r="R6" s="58"/>
      <c r="S6" s="58"/>
      <c r="T6" s="58"/>
      <c r="U6" s="94"/>
      <c r="V6" s="35"/>
      <c r="W6" s="35"/>
      <c r="X6" s="35"/>
      <c r="Y6" s="35"/>
      <c r="Z6" s="35"/>
    </row>
    <row r="7" spans="1:26" ht="33.75" x14ac:dyDescent="0.5">
      <c r="A7" s="98"/>
      <c r="B7" s="59" t="s">
        <v>213</v>
      </c>
      <c r="C7" s="60">
        <f ca="1">SUM(OFFSET(AnneeEnCours!$B$4,MATCH($C$2,L_Dept,0),,,MATCH($E$2,L_MoisCum,0)))</f>
        <v>59189.2</v>
      </c>
      <c r="D7" s="60">
        <f ca="1">SUM(OFFSET(AnneePrecedente!$B$4,MATCH($C$2,L_Dept,0),,,MATCH($E$2,L_MoisCum,0)))</f>
        <v>67646.540000000008</v>
      </c>
      <c r="E7" s="61">
        <f t="shared" ref="E7:E8" ca="1" si="0">(C7/D7)-1</f>
        <v>-0.12502250669435588</v>
      </c>
      <c r="F7" s="94"/>
      <c r="G7" s="35"/>
      <c r="H7" s="131"/>
      <c r="I7" s="132"/>
      <c r="J7" s="135"/>
      <c r="K7" s="136"/>
      <c r="L7" s="35"/>
      <c r="M7" s="151"/>
      <c r="N7" s="149"/>
      <c r="O7" s="93"/>
      <c r="P7" s="58"/>
      <c r="Q7" s="58"/>
      <c r="R7" s="58"/>
      <c r="S7" s="58"/>
      <c r="T7" s="58"/>
      <c r="U7" s="94"/>
      <c r="V7" s="35"/>
      <c r="W7" s="35"/>
      <c r="X7" s="35"/>
      <c r="Y7" s="35"/>
      <c r="Z7" s="35"/>
    </row>
    <row r="8" spans="1:26" ht="33.75" x14ac:dyDescent="0.5">
      <c r="A8" s="98"/>
      <c r="B8" s="59" t="s">
        <v>214</v>
      </c>
      <c r="C8" s="60">
        <f>SUM(CHOOSE(MATCH($C$2,L_Dept,0),Dept1An,Dept2An,Dept3An))</f>
        <v>139118.20000000001</v>
      </c>
      <c r="D8" s="60">
        <f>SUM(CHOOSE(MATCH($C$2,L_Dept,0),Dept1AnP,Dept2AnP,Dept3AnP))</f>
        <v>272916.21999999997</v>
      </c>
      <c r="E8" s="61">
        <f t="shared" si="0"/>
        <v>-0.49025308939131562</v>
      </c>
      <c r="F8" s="94"/>
      <c r="G8" s="35"/>
      <c r="H8" s="133"/>
      <c r="I8" s="134"/>
      <c r="J8" s="137"/>
      <c r="K8" s="138"/>
      <c r="L8" s="35"/>
      <c r="M8" s="151"/>
      <c r="N8" s="149"/>
      <c r="O8" s="93"/>
      <c r="P8" s="58"/>
      <c r="Q8" s="58"/>
      <c r="R8" s="58"/>
      <c r="S8" s="58"/>
      <c r="T8" s="58"/>
      <c r="U8" s="94"/>
      <c r="V8" s="35"/>
      <c r="W8" s="35"/>
      <c r="X8" s="35"/>
      <c r="Y8" s="35"/>
      <c r="Z8" s="35"/>
    </row>
    <row r="9" spans="1:26" ht="15" customHeight="1" x14ac:dyDescent="0.25">
      <c r="A9" s="142" t="s">
        <v>278</v>
      </c>
      <c r="B9" s="143"/>
      <c r="C9" s="143"/>
      <c r="D9" s="143"/>
      <c r="E9" s="143"/>
      <c r="F9" s="144"/>
      <c r="G9" s="35"/>
      <c r="H9" s="124" t="s">
        <v>279</v>
      </c>
      <c r="I9" s="125"/>
      <c r="J9" s="125"/>
      <c r="K9" s="126"/>
      <c r="L9" s="35"/>
      <c r="M9" s="151"/>
      <c r="N9" s="150"/>
      <c r="O9" s="93"/>
      <c r="P9" s="58"/>
      <c r="Q9" s="58"/>
      <c r="R9" s="58"/>
      <c r="S9" s="58"/>
      <c r="T9" s="58"/>
      <c r="U9" s="94"/>
      <c r="V9" s="35"/>
      <c r="W9" s="35"/>
      <c r="X9" s="35"/>
      <c r="Y9" s="35"/>
      <c r="Z9" s="35"/>
    </row>
    <row r="10" spans="1:26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51"/>
      <c r="N10" s="153" t="s">
        <v>175</v>
      </c>
      <c r="O10" s="93"/>
      <c r="P10" s="58"/>
      <c r="Q10" s="58"/>
      <c r="R10" s="58"/>
      <c r="S10" s="58"/>
      <c r="T10" s="58"/>
      <c r="U10" s="94"/>
      <c r="V10" s="35"/>
      <c r="W10" s="35"/>
      <c r="X10" s="35"/>
      <c r="Y10" s="35"/>
      <c r="Z10" s="35"/>
    </row>
    <row r="11" spans="1:26" ht="9.9499999999999993" customHeight="1" x14ac:dyDescent="0.25">
      <c r="A11" s="162" t="s">
        <v>215</v>
      </c>
      <c r="B11" s="163"/>
      <c r="C11" s="163"/>
      <c r="D11" s="163"/>
      <c r="E11" s="163"/>
      <c r="F11" s="164"/>
      <c r="G11" s="35"/>
      <c r="H11" s="101"/>
      <c r="I11" s="91"/>
      <c r="J11" s="91"/>
      <c r="K11" s="111"/>
      <c r="L11" s="35"/>
      <c r="M11" s="151"/>
      <c r="N11" s="154"/>
      <c r="O11" s="93"/>
      <c r="P11" s="58"/>
      <c r="Q11" s="58"/>
      <c r="R11" s="58"/>
      <c r="S11" s="58"/>
      <c r="T11" s="58"/>
      <c r="U11" s="94"/>
      <c r="V11" s="35"/>
      <c r="W11" s="35"/>
      <c r="X11" s="35"/>
      <c r="Y11" s="35"/>
      <c r="Z11" s="35"/>
    </row>
    <row r="12" spans="1:26" ht="15.95" customHeight="1" x14ac:dyDescent="0.25">
      <c r="A12" s="165"/>
      <c r="B12" s="166"/>
      <c r="C12" s="166"/>
      <c r="D12" s="166"/>
      <c r="E12" s="166"/>
      <c r="F12" s="167"/>
      <c r="G12" s="35"/>
      <c r="H12" s="119"/>
      <c r="I12" s="120" t="s">
        <v>130</v>
      </c>
      <c r="J12" s="120" t="s">
        <v>175</v>
      </c>
      <c r="K12" s="121" t="str">
        <f>E5</f>
        <v>Variation</v>
      </c>
      <c r="L12" s="35"/>
      <c r="M12" s="151"/>
      <c r="N12" s="154"/>
      <c r="O12" s="93"/>
      <c r="P12" s="58"/>
      <c r="Q12" s="58"/>
      <c r="R12" s="58"/>
      <c r="S12" s="58"/>
      <c r="T12" s="58"/>
      <c r="U12" s="94"/>
      <c r="V12" s="35"/>
      <c r="W12" s="35"/>
      <c r="X12" s="35"/>
      <c r="Y12" s="35"/>
      <c r="Z12" s="35"/>
    </row>
    <row r="13" spans="1:26" x14ac:dyDescent="0.25">
      <c r="A13" s="98"/>
      <c r="B13" s="58"/>
      <c r="C13" s="58"/>
      <c r="D13" s="58"/>
      <c r="E13" s="58"/>
      <c r="F13" s="94"/>
      <c r="G13" s="35"/>
      <c r="H13" s="128" t="s">
        <v>12</v>
      </c>
      <c r="I13" s="145"/>
      <c r="J13" s="145"/>
      <c r="K13" s="146"/>
      <c r="L13" s="35"/>
      <c r="M13" s="151"/>
      <c r="N13" s="154"/>
      <c r="O13" s="93"/>
      <c r="P13" s="58"/>
      <c r="Q13" s="58"/>
      <c r="R13" s="58"/>
      <c r="S13" s="58"/>
      <c r="T13" s="58"/>
      <c r="U13" s="94"/>
      <c r="V13" s="35"/>
      <c r="W13" s="35"/>
      <c r="X13" s="35"/>
      <c r="Y13" s="35"/>
      <c r="Z13" s="35"/>
    </row>
    <row r="14" spans="1:26" x14ac:dyDescent="0.25">
      <c r="A14" s="98"/>
      <c r="B14" s="114"/>
      <c r="C14" s="58"/>
      <c r="D14" s="114"/>
      <c r="E14" s="114"/>
      <c r="F14" s="94"/>
      <c r="G14" s="35"/>
      <c r="H14" s="128"/>
      <c r="I14" s="145"/>
      <c r="J14" s="145"/>
      <c r="K14" s="146"/>
      <c r="L14" s="35"/>
      <c r="M14" s="151"/>
      <c r="N14" s="154"/>
      <c r="O14" s="93"/>
      <c r="P14" s="58"/>
      <c r="Q14" s="58"/>
      <c r="R14" s="58"/>
      <c r="S14" s="58"/>
      <c r="T14" s="58"/>
      <c r="U14" s="94"/>
      <c r="V14" s="35"/>
      <c r="W14" s="35"/>
      <c r="X14" s="35"/>
      <c r="Y14" s="35"/>
      <c r="Z14" s="35"/>
    </row>
    <row r="15" spans="1:26" s="28" customFormat="1" x14ac:dyDescent="0.25">
      <c r="A15" s="98"/>
      <c r="B15" s="58"/>
      <c r="C15" s="58"/>
      <c r="D15" s="58"/>
      <c r="E15" s="58"/>
      <c r="F15" s="94"/>
      <c r="G15" s="39"/>
      <c r="H15" s="128" t="s">
        <v>13</v>
      </c>
      <c r="I15" s="145"/>
      <c r="J15" s="145"/>
      <c r="K15" s="146"/>
      <c r="L15" s="39"/>
      <c r="M15" s="151"/>
      <c r="N15" s="154"/>
      <c r="O15" s="93"/>
      <c r="P15" s="58"/>
      <c r="Q15" s="58"/>
      <c r="R15" s="58"/>
      <c r="S15" s="58"/>
      <c r="T15" s="58"/>
      <c r="U15" s="94"/>
      <c r="V15" s="39"/>
      <c r="W15" s="39"/>
      <c r="X15" s="39"/>
      <c r="Y15" s="39"/>
      <c r="Z15" s="39"/>
    </row>
    <row r="16" spans="1:26" s="28" customFormat="1" x14ac:dyDescent="0.25">
      <c r="A16" s="98"/>
      <c r="B16" s="58"/>
      <c r="C16" s="58"/>
      <c r="D16" s="58"/>
      <c r="E16" s="58"/>
      <c r="F16" s="94"/>
      <c r="G16" s="39"/>
      <c r="H16" s="128"/>
      <c r="I16" s="145"/>
      <c r="J16" s="145"/>
      <c r="K16" s="146"/>
      <c r="L16" s="39"/>
      <c r="M16" s="151"/>
      <c r="N16" s="154"/>
      <c r="O16" s="93"/>
      <c r="P16" s="58"/>
      <c r="Q16" s="58"/>
      <c r="R16" s="58"/>
      <c r="S16" s="58"/>
      <c r="T16" s="58"/>
      <c r="U16" s="94"/>
      <c r="V16" s="39"/>
      <c r="W16" s="39"/>
      <c r="X16" s="39"/>
      <c r="Y16" s="39"/>
      <c r="Z16" s="39"/>
    </row>
    <row r="17" spans="1:26" x14ac:dyDescent="0.25">
      <c r="A17" s="98"/>
      <c r="B17" s="58"/>
      <c r="C17" s="58"/>
      <c r="D17" s="58"/>
      <c r="E17" s="58"/>
      <c r="F17" s="94"/>
      <c r="G17" s="35"/>
      <c r="H17" s="128" t="s">
        <v>14</v>
      </c>
      <c r="I17" s="145"/>
      <c r="J17" s="145"/>
      <c r="K17" s="146"/>
      <c r="L17" s="35"/>
      <c r="M17" s="151"/>
      <c r="N17" s="154"/>
      <c r="O17" s="93"/>
      <c r="P17" s="58"/>
      <c r="Q17" s="58"/>
      <c r="R17" s="58"/>
      <c r="S17" s="58"/>
      <c r="T17" s="58"/>
      <c r="U17" s="94"/>
      <c r="V17" s="35"/>
      <c r="W17" s="35"/>
      <c r="X17" s="35"/>
      <c r="Y17" s="35"/>
      <c r="Z17" s="35"/>
    </row>
    <row r="18" spans="1:26" x14ac:dyDescent="0.25">
      <c r="A18" s="98"/>
      <c r="B18" s="58"/>
      <c r="C18" s="58"/>
      <c r="D18" s="58"/>
      <c r="E18" s="58"/>
      <c r="F18" s="94"/>
      <c r="G18" s="35"/>
      <c r="H18" s="128"/>
      <c r="I18" s="145"/>
      <c r="J18" s="145"/>
      <c r="K18" s="146"/>
      <c r="L18" s="35"/>
      <c r="M18" s="151"/>
      <c r="N18" s="154"/>
      <c r="O18" s="93"/>
      <c r="P18" s="58"/>
      <c r="Q18" s="58"/>
      <c r="R18" s="58"/>
      <c r="S18" s="58"/>
      <c r="T18" s="58"/>
      <c r="U18" s="94"/>
      <c r="V18" s="35"/>
      <c r="W18" s="35"/>
      <c r="X18" s="35"/>
      <c r="Y18" s="35"/>
      <c r="Z18" s="35"/>
    </row>
    <row r="19" spans="1:26" ht="15" customHeight="1" x14ac:dyDescent="0.25">
      <c r="A19" s="98"/>
      <c r="B19" s="58"/>
      <c r="C19" s="58"/>
      <c r="D19" s="58"/>
      <c r="E19" s="58"/>
      <c r="F19" s="94"/>
      <c r="G19" s="35"/>
      <c r="H19" s="98"/>
      <c r="I19" s="113"/>
      <c r="J19" s="113"/>
      <c r="K19" s="112"/>
      <c r="L19" s="35"/>
      <c r="M19" s="152"/>
      <c r="N19" s="155"/>
      <c r="O19" s="95"/>
      <c r="P19" s="96"/>
      <c r="Q19" s="96"/>
      <c r="R19" s="96"/>
      <c r="S19" s="96"/>
      <c r="T19" s="96"/>
      <c r="U19" s="97"/>
      <c r="V19" s="35"/>
      <c r="W19" s="35"/>
      <c r="X19" s="35"/>
      <c r="Y19" s="35"/>
      <c r="Z19" s="35"/>
    </row>
    <row r="20" spans="1:26" ht="9.9499999999999993" customHeight="1" x14ac:dyDescent="0.25">
      <c r="A20" s="98"/>
      <c r="B20" s="58"/>
      <c r="C20" s="58"/>
      <c r="D20" s="58"/>
      <c r="E20" s="58"/>
      <c r="F20" s="94"/>
      <c r="G20" s="35"/>
      <c r="H20" s="139" t="s">
        <v>290</v>
      </c>
      <c r="I20" s="140"/>
      <c r="J20" s="140"/>
      <c r="K20" s="14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" customHeight="1" x14ac:dyDescent="0.25">
      <c r="A21" s="98"/>
      <c r="B21" s="58"/>
      <c r="C21" s="58"/>
      <c r="D21" s="58"/>
      <c r="E21" s="58"/>
      <c r="F21" s="94"/>
      <c r="G21" s="35"/>
      <c r="H21" s="142"/>
      <c r="I21" s="143"/>
      <c r="J21" s="143"/>
      <c r="K21" s="144"/>
      <c r="L21" s="35"/>
      <c r="M21" s="156" t="s">
        <v>216</v>
      </c>
      <c r="N21" s="157"/>
      <c r="O21" s="101"/>
      <c r="P21" s="91"/>
      <c r="Q21" s="91"/>
      <c r="R21" s="91"/>
      <c r="S21" s="91"/>
      <c r="T21" s="91"/>
      <c r="U21" s="92"/>
      <c r="V21" s="35"/>
      <c r="W21" s="35"/>
      <c r="X21" s="35"/>
      <c r="Y21" s="35"/>
      <c r="Z21" s="35"/>
    </row>
    <row r="22" spans="1:26" ht="15" customHeight="1" x14ac:dyDescent="0.25">
      <c r="A22" s="98"/>
      <c r="B22" s="58"/>
      <c r="C22" s="58"/>
      <c r="D22" s="58"/>
      <c r="E22" s="58"/>
      <c r="F22" s="94"/>
      <c r="G22" s="35"/>
      <c r="H22" s="35"/>
      <c r="I22" s="35"/>
      <c r="J22" s="35"/>
      <c r="K22" s="35"/>
      <c r="L22" s="35"/>
      <c r="M22" s="158"/>
      <c r="N22" s="159"/>
      <c r="O22" s="98"/>
      <c r="P22" s="58"/>
      <c r="Q22" s="58"/>
      <c r="R22" s="58"/>
      <c r="S22" s="58"/>
      <c r="T22" s="58"/>
      <c r="U22" s="94"/>
      <c r="V22" s="35"/>
      <c r="W22" s="35"/>
      <c r="X22" s="35"/>
      <c r="Y22" s="35"/>
      <c r="Z22" s="35"/>
    </row>
    <row r="23" spans="1:26" x14ac:dyDescent="0.25">
      <c r="A23" s="99"/>
      <c r="B23" s="100"/>
      <c r="C23" s="100"/>
      <c r="D23" s="100"/>
      <c r="E23" s="100"/>
      <c r="F23" s="97"/>
      <c r="G23" s="35"/>
      <c r="H23" s="101"/>
      <c r="I23" s="122" t="s">
        <v>130</v>
      </c>
      <c r="J23" s="122" t="s">
        <v>175</v>
      </c>
      <c r="K23" s="123" t="str">
        <f>E5</f>
        <v>Variation</v>
      </c>
      <c r="L23" s="35"/>
      <c r="M23" s="158"/>
      <c r="N23" s="159"/>
      <c r="O23" s="98"/>
      <c r="P23" s="58"/>
      <c r="Q23" s="58"/>
      <c r="R23" s="58"/>
      <c r="S23" s="58"/>
      <c r="T23" s="58"/>
      <c r="U23" s="94"/>
      <c r="V23" s="35"/>
      <c r="W23" s="35"/>
      <c r="X23" s="35"/>
      <c r="Y23" s="35"/>
      <c r="Z23" s="35"/>
    </row>
    <row r="24" spans="1:26" x14ac:dyDescent="0.25">
      <c r="A24" s="35"/>
      <c r="B24" s="35"/>
      <c r="C24" s="35"/>
      <c r="D24" s="35"/>
      <c r="E24" s="35"/>
      <c r="F24" s="35"/>
      <c r="G24" s="35"/>
      <c r="H24" s="127" t="s">
        <v>12</v>
      </c>
      <c r="I24" s="129"/>
      <c r="J24" s="129"/>
      <c r="K24" s="130"/>
      <c r="L24" s="35"/>
      <c r="M24" s="158"/>
      <c r="N24" s="159"/>
      <c r="O24" s="98"/>
      <c r="P24" s="58"/>
      <c r="Q24" s="58"/>
      <c r="R24" s="58"/>
      <c r="S24" s="58"/>
      <c r="T24" s="58"/>
      <c r="U24" s="94"/>
      <c r="V24" s="35"/>
      <c r="W24" s="35"/>
      <c r="X24" s="35"/>
      <c r="Y24" s="35"/>
      <c r="Z24" s="35"/>
    </row>
    <row r="25" spans="1:26" ht="15" customHeight="1" x14ac:dyDescent="0.25">
      <c r="A25" s="101"/>
      <c r="B25" s="168" t="s">
        <v>217</v>
      </c>
      <c r="C25" s="168"/>
      <c r="D25" s="168"/>
      <c r="E25" s="168"/>
      <c r="F25" s="92"/>
      <c r="G25" s="35"/>
      <c r="H25" s="127"/>
      <c r="I25" s="129"/>
      <c r="J25" s="129"/>
      <c r="K25" s="130"/>
      <c r="L25" s="35"/>
      <c r="M25" s="158"/>
      <c r="N25" s="159"/>
      <c r="O25" s="98"/>
      <c r="P25" s="58"/>
      <c r="Q25" s="58"/>
      <c r="R25" s="58"/>
      <c r="S25" s="58"/>
      <c r="T25" s="58"/>
      <c r="U25" s="94"/>
      <c r="V25" s="35"/>
      <c r="W25" s="35"/>
      <c r="X25" s="35"/>
      <c r="Y25" s="35"/>
      <c r="Z25" s="35"/>
    </row>
    <row r="26" spans="1:26" ht="15.75" x14ac:dyDescent="0.25">
      <c r="A26" s="98"/>
      <c r="B26" s="148"/>
      <c r="C26" s="148"/>
      <c r="D26" s="148"/>
      <c r="E26" s="148"/>
      <c r="F26" s="94"/>
      <c r="G26" s="35"/>
      <c r="H26" s="127" t="s">
        <v>13</v>
      </c>
      <c r="I26" s="129"/>
      <c r="J26" s="129"/>
      <c r="K26" s="130"/>
      <c r="L26" s="35"/>
      <c r="M26" s="158"/>
      <c r="N26" s="159"/>
      <c r="O26" s="98"/>
      <c r="P26" s="58"/>
      <c r="Q26" s="58"/>
      <c r="R26" s="58"/>
      <c r="S26" s="58"/>
      <c r="T26" s="58"/>
      <c r="U26" s="94"/>
      <c r="V26" s="35"/>
      <c r="W26" s="35"/>
      <c r="X26" s="35"/>
      <c r="Y26" s="35"/>
      <c r="Z26" s="35"/>
    </row>
    <row r="27" spans="1:26" x14ac:dyDescent="0.25">
      <c r="A27" s="98"/>
      <c r="B27" s="58"/>
      <c r="C27" s="58"/>
      <c r="D27" s="58"/>
      <c r="E27" s="58"/>
      <c r="F27" s="94"/>
      <c r="G27" s="35"/>
      <c r="H27" s="127"/>
      <c r="I27" s="129"/>
      <c r="J27" s="129"/>
      <c r="K27" s="130"/>
      <c r="L27" s="35"/>
      <c r="M27" s="158"/>
      <c r="N27" s="159"/>
      <c r="O27" s="98"/>
      <c r="P27" s="58"/>
      <c r="Q27" s="58"/>
      <c r="R27" s="58"/>
      <c r="S27" s="58"/>
      <c r="T27" s="58"/>
      <c r="U27" s="94"/>
      <c r="V27" s="35"/>
      <c r="W27" s="35"/>
      <c r="X27" s="35"/>
      <c r="Y27" s="35"/>
      <c r="Z27" s="35"/>
    </row>
    <row r="28" spans="1:26" x14ac:dyDescent="0.25">
      <c r="A28" s="98"/>
      <c r="B28" s="62"/>
      <c r="C28" s="58"/>
      <c r="D28" s="58"/>
      <c r="E28" s="58"/>
      <c r="F28" s="94"/>
      <c r="G28" s="35"/>
      <c r="H28" s="127" t="s">
        <v>14</v>
      </c>
      <c r="I28" s="129"/>
      <c r="J28" s="129"/>
      <c r="K28" s="130"/>
      <c r="L28" s="35"/>
      <c r="M28" s="158"/>
      <c r="N28" s="159"/>
      <c r="O28" s="98"/>
      <c r="P28" s="58"/>
      <c r="Q28" s="58"/>
      <c r="R28" s="58"/>
      <c r="S28" s="58"/>
      <c r="T28" s="58"/>
      <c r="U28" s="94"/>
      <c r="V28" s="35"/>
      <c r="W28" s="35"/>
      <c r="X28" s="35"/>
      <c r="Y28" s="35"/>
      <c r="Z28" s="35"/>
    </row>
    <row r="29" spans="1:26" x14ac:dyDescent="0.25">
      <c r="A29" s="98"/>
      <c r="B29" s="62"/>
      <c r="C29" s="58"/>
      <c r="D29" s="58"/>
      <c r="E29" s="58"/>
      <c r="F29" s="94"/>
      <c r="G29" s="35"/>
      <c r="H29" s="127"/>
      <c r="I29" s="129"/>
      <c r="J29" s="129"/>
      <c r="K29" s="130"/>
      <c r="L29" s="35"/>
      <c r="M29" s="158"/>
      <c r="N29" s="159"/>
      <c r="O29" s="98"/>
      <c r="P29" s="58"/>
      <c r="Q29" s="58"/>
      <c r="R29" s="58"/>
      <c r="S29" s="58"/>
      <c r="T29" s="58"/>
      <c r="U29" s="94"/>
      <c r="V29" s="35"/>
      <c r="W29" s="35"/>
      <c r="X29" s="35"/>
      <c r="Y29" s="35"/>
      <c r="Z29" s="35"/>
    </row>
    <row r="30" spans="1:26" x14ac:dyDescent="0.25">
      <c r="A30" s="98"/>
      <c r="B30" s="62"/>
      <c r="C30" s="58"/>
      <c r="D30" s="58"/>
      <c r="E30" s="58"/>
      <c r="F30" s="94"/>
      <c r="G30" s="35"/>
      <c r="H30" s="99"/>
      <c r="I30" s="58"/>
      <c r="J30" s="58"/>
      <c r="K30" s="94"/>
      <c r="L30" s="35"/>
      <c r="M30" s="158"/>
      <c r="N30" s="159"/>
      <c r="O30" s="98"/>
      <c r="P30" s="58"/>
      <c r="Q30" s="58"/>
      <c r="R30" s="58"/>
      <c r="S30" s="58"/>
      <c r="T30" s="58"/>
      <c r="U30" s="94"/>
      <c r="V30" s="35"/>
      <c r="W30" s="35"/>
      <c r="X30" s="35"/>
      <c r="Y30" s="35"/>
      <c r="Z30" s="35"/>
    </row>
    <row r="31" spans="1:26" x14ac:dyDescent="0.25">
      <c r="A31" s="99"/>
      <c r="B31" s="100"/>
      <c r="C31" s="100"/>
      <c r="D31" s="100"/>
      <c r="E31" s="100"/>
      <c r="F31" s="97"/>
      <c r="G31" s="35"/>
      <c r="H31" s="124" t="s">
        <v>211</v>
      </c>
      <c r="I31" s="125"/>
      <c r="J31" s="125"/>
      <c r="K31" s="126"/>
      <c r="L31" s="35"/>
      <c r="M31" s="160"/>
      <c r="N31" s="161"/>
      <c r="O31" s="99"/>
      <c r="P31" s="100"/>
      <c r="Q31" s="100"/>
      <c r="R31" s="100"/>
      <c r="S31" s="100"/>
      <c r="T31" s="100"/>
      <c r="U31" s="97"/>
      <c r="V31" s="35"/>
      <c r="W31" s="35"/>
      <c r="X31" s="35"/>
      <c r="Y31" s="35"/>
      <c r="Z31" s="35"/>
    </row>
    <row r="32" spans="1:26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</sheetData>
  <mergeCells count="40">
    <mergeCell ref="P2:S2"/>
    <mergeCell ref="B26:E26"/>
    <mergeCell ref="N4:N9"/>
    <mergeCell ref="M4:M19"/>
    <mergeCell ref="N10:N19"/>
    <mergeCell ref="A9:F9"/>
    <mergeCell ref="M21:N31"/>
    <mergeCell ref="A11:F12"/>
    <mergeCell ref="B25:E25"/>
    <mergeCell ref="H5:I5"/>
    <mergeCell ref="J5:K5"/>
    <mergeCell ref="H6:I8"/>
    <mergeCell ref="J6:K8"/>
    <mergeCell ref="H9:K9"/>
    <mergeCell ref="H20:K21"/>
    <mergeCell ref="I13:I14"/>
    <mergeCell ref="J13:J14"/>
    <mergeCell ref="I15:I16"/>
    <mergeCell ref="I17:I18"/>
    <mergeCell ref="J15:J16"/>
    <mergeCell ref="J17:J18"/>
    <mergeCell ref="K13:K14"/>
    <mergeCell ref="K15:K16"/>
    <mergeCell ref="K17:K18"/>
    <mergeCell ref="H31:K31"/>
    <mergeCell ref="H24:H25"/>
    <mergeCell ref="H26:H27"/>
    <mergeCell ref="H28:H29"/>
    <mergeCell ref="H13:H14"/>
    <mergeCell ref="H15:H16"/>
    <mergeCell ref="H17:H18"/>
    <mergeCell ref="I24:I25"/>
    <mergeCell ref="J24:J25"/>
    <mergeCell ref="K24:K25"/>
    <mergeCell ref="I26:I27"/>
    <mergeCell ref="J26:J27"/>
    <mergeCell ref="K26:K27"/>
    <mergeCell ref="I28:I29"/>
    <mergeCell ref="J28:J29"/>
    <mergeCell ref="K28:K29"/>
  </mergeCells>
  <conditionalFormatting sqref="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5" right="0.25" top="0.75" bottom="0.75" header="0.3" footer="0.3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3"/>
  <sheetViews>
    <sheetView zoomScaleNormal="100" workbookViewId="0">
      <selection activeCell="A25" sqref="A25"/>
    </sheetView>
  </sheetViews>
  <sheetFormatPr baseColWidth="10" defaultColWidth="10.7109375" defaultRowHeight="15" x14ac:dyDescent="0.25"/>
  <cols>
    <col min="22" max="24" width="22.7109375" customWidth="1"/>
  </cols>
  <sheetData>
    <row r="1" spans="1:24" ht="21" x14ac:dyDescent="0.35">
      <c r="A1" s="174" t="s">
        <v>163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V1" s="36" t="s">
        <v>179</v>
      </c>
      <c r="W1" s="37" t="s">
        <v>229</v>
      </c>
      <c r="X1" s="37" t="s">
        <v>231</v>
      </c>
    </row>
    <row r="2" spans="1:24" s="73" customFormat="1" x14ac:dyDescent="0.25">
      <c r="V2" s="74" t="s">
        <v>176</v>
      </c>
      <c r="W2" s="75" t="s">
        <v>230</v>
      </c>
      <c r="X2" s="75" t="s">
        <v>232</v>
      </c>
    </row>
    <row r="3" spans="1:24" s="73" customFormat="1" ht="15" customHeight="1" x14ac:dyDescent="0.25">
      <c r="V3" s="74" t="s">
        <v>177</v>
      </c>
      <c r="W3" s="75" t="s">
        <v>219</v>
      </c>
      <c r="X3" s="75" t="s">
        <v>233</v>
      </c>
    </row>
    <row r="4" spans="1:24" s="73" customFormat="1" ht="15" customHeight="1" x14ac:dyDescent="0.25">
      <c r="V4" s="74" t="s">
        <v>178</v>
      </c>
      <c r="W4" s="75" t="s">
        <v>228</v>
      </c>
      <c r="X4" s="75" t="s">
        <v>234</v>
      </c>
    </row>
    <row r="5" spans="1:24" s="73" customFormat="1" ht="15" customHeight="1" x14ac:dyDescent="0.25"/>
    <row r="6" spans="1:24" s="73" customFormat="1" ht="15" customHeight="1" x14ac:dyDescent="0.25"/>
    <row r="7" spans="1:24" s="73" customFormat="1" ht="15" customHeight="1" x14ac:dyDescent="0.25"/>
    <row r="8" spans="1:24" s="73" customFormat="1" ht="15" customHeight="1" x14ac:dyDescent="0.25"/>
    <row r="9" spans="1:24" s="73" customFormat="1" ht="15" customHeight="1" x14ac:dyDescent="0.25"/>
    <row r="10" spans="1:24" s="73" customFormat="1" ht="15" customHeight="1" x14ac:dyDescent="0.25"/>
    <row r="11" spans="1:24" s="73" customFormat="1" ht="21.95" customHeight="1" x14ac:dyDescent="0.25"/>
    <row r="12" spans="1:24" s="73" customFormat="1" ht="15" customHeight="1" x14ac:dyDescent="0.25"/>
    <row r="13" spans="1:24" ht="21" x14ac:dyDescent="0.35">
      <c r="A13" s="174" t="s">
        <v>164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</row>
    <row r="23" spans="2:9" ht="21.95" customHeight="1" x14ac:dyDescent="0.25"/>
    <row r="30" spans="2:9" ht="15.75" thickBot="1" x14ac:dyDescent="0.3"/>
    <row r="31" spans="2:9" ht="15.75" thickBot="1" x14ac:dyDescent="0.3">
      <c r="B31" s="176" t="s">
        <v>165</v>
      </c>
      <c r="C31" s="177"/>
      <c r="D31" s="177"/>
      <c r="E31" s="177"/>
      <c r="F31" s="177"/>
      <c r="G31" s="177"/>
      <c r="H31" s="177"/>
      <c r="I31" s="178"/>
    </row>
    <row r="32" spans="2:9" x14ac:dyDescent="0.25">
      <c r="B32" s="179" t="s">
        <v>220</v>
      </c>
      <c r="C32" s="180"/>
      <c r="D32" s="180"/>
      <c r="E32" s="180"/>
      <c r="F32" s="180"/>
      <c r="G32" s="180"/>
      <c r="H32" s="180"/>
      <c r="I32" s="181"/>
    </row>
    <row r="33" spans="2:9" x14ac:dyDescent="0.25">
      <c r="B33" s="182" t="s">
        <v>109</v>
      </c>
      <c r="C33" s="183"/>
      <c r="D33" s="23" t="s">
        <v>30</v>
      </c>
      <c r="E33" s="26"/>
      <c r="F33" s="33"/>
      <c r="G33" s="33"/>
      <c r="H33" s="33"/>
      <c r="I33" s="34"/>
    </row>
    <row r="34" spans="2:9" x14ac:dyDescent="0.25">
      <c r="B34" s="184" t="s">
        <v>110</v>
      </c>
      <c r="C34" s="185"/>
      <c r="D34" s="12" t="s">
        <v>36</v>
      </c>
      <c r="E34" s="28"/>
      <c r="F34" s="28"/>
      <c r="G34" s="28"/>
      <c r="H34" s="28"/>
      <c r="I34" s="29"/>
    </row>
    <row r="35" spans="2:9" x14ac:dyDescent="0.25">
      <c r="B35" s="184" t="s">
        <v>111</v>
      </c>
      <c r="C35" s="185"/>
      <c r="D35" s="12" t="s">
        <v>41</v>
      </c>
      <c r="E35" s="28"/>
      <c r="F35" s="28"/>
      <c r="G35" s="28"/>
      <c r="H35" s="28"/>
      <c r="I35" s="29"/>
    </row>
    <row r="36" spans="2:9" x14ac:dyDescent="0.25">
      <c r="B36" s="32"/>
      <c r="C36" s="30"/>
      <c r="D36" s="30"/>
      <c r="E36" s="30"/>
      <c r="F36" s="30"/>
      <c r="G36" s="30"/>
      <c r="H36" s="30"/>
      <c r="I36" s="31"/>
    </row>
    <row r="37" spans="2:9" x14ac:dyDescent="0.25">
      <c r="B37" s="186" t="s">
        <v>221</v>
      </c>
      <c r="C37" s="187"/>
      <c r="D37" s="187"/>
      <c r="E37" s="187"/>
      <c r="F37" s="187"/>
      <c r="G37" s="187"/>
      <c r="H37" s="187"/>
      <c r="I37" s="188"/>
    </row>
    <row r="38" spans="2:9" x14ac:dyDescent="0.25">
      <c r="B38" s="182" t="s">
        <v>33</v>
      </c>
      <c r="C38" s="183"/>
      <c r="D38" s="23" t="s">
        <v>34</v>
      </c>
      <c r="E38" s="26"/>
      <c r="F38" s="26"/>
      <c r="G38" s="26"/>
      <c r="H38" s="26"/>
      <c r="I38" s="27"/>
    </row>
    <row r="39" spans="2:9" x14ac:dyDescent="0.25">
      <c r="B39" s="184" t="s">
        <v>39</v>
      </c>
      <c r="C39" s="185"/>
      <c r="D39" s="12" t="s">
        <v>101</v>
      </c>
      <c r="E39" s="28"/>
      <c r="F39" s="28"/>
      <c r="G39" s="28"/>
      <c r="H39" s="28"/>
      <c r="I39" s="29"/>
    </row>
    <row r="40" spans="2:9" x14ac:dyDescent="0.25">
      <c r="B40" s="184" t="s">
        <v>44</v>
      </c>
      <c r="C40" s="185"/>
      <c r="D40" s="12" t="s">
        <v>102</v>
      </c>
      <c r="E40" s="28"/>
      <c r="F40" s="28"/>
      <c r="G40" s="28"/>
      <c r="H40" s="28"/>
      <c r="I40" s="29"/>
    </row>
    <row r="41" spans="2:9" x14ac:dyDescent="0.25">
      <c r="B41" s="32"/>
      <c r="C41" s="30"/>
      <c r="D41" s="30"/>
      <c r="E41" s="30"/>
      <c r="F41" s="30"/>
      <c r="G41" s="30"/>
      <c r="H41" s="30"/>
      <c r="I41" s="31"/>
    </row>
    <row r="42" spans="2:9" x14ac:dyDescent="0.25">
      <c r="B42" s="186" t="s">
        <v>222</v>
      </c>
      <c r="C42" s="187"/>
      <c r="D42" s="187"/>
      <c r="E42" s="187"/>
      <c r="F42" s="187"/>
      <c r="G42" s="187"/>
      <c r="H42" s="187"/>
      <c r="I42" s="188"/>
    </row>
    <row r="43" spans="2:9" x14ac:dyDescent="0.25">
      <c r="B43" s="172" t="s">
        <v>112</v>
      </c>
      <c r="C43" s="173"/>
      <c r="D43" s="24" t="s">
        <v>105</v>
      </c>
      <c r="E43" s="8"/>
      <c r="F43" s="8"/>
      <c r="G43" s="8"/>
      <c r="H43" s="8"/>
      <c r="I43" s="25"/>
    </row>
  </sheetData>
  <sortState ref="V1:X4">
    <sortCondition ref="V3:V6"/>
  </sortState>
  <mergeCells count="13">
    <mergeCell ref="B43:C43"/>
    <mergeCell ref="A1:T1"/>
    <mergeCell ref="A13:T13"/>
    <mergeCell ref="B31:I31"/>
    <mergeCell ref="B32:I32"/>
    <mergeCell ref="B33:C33"/>
    <mergeCell ref="B34:C34"/>
    <mergeCell ref="B35:C35"/>
    <mergeCell ref="B42:I42"/>
    <mergeCell ref="B37:I37"/>
    <mergeCell ref="B38:C38"/>
    <mergeCell ref="B39:C39"/>
    <mergeCell ref="B40:C40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J29" sqref="J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92" t="s">
        <v>15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40"/>
    </row>
    <row r="2" spans="1:12" ht="18.75" x14ac:dyDescent="0.25">
      <c r="A2" s="193" t="s">
        <v>100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40"/>
    </row>
    <row r="3" spans="1:12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30" x14ac:dyDescent="0.4">
      <c r="A4" s="197" t="str">
        <f>AnneeEnCours!A5</f>
        <v>Dépt 1</v>
      </c>
      <c r="B4" s="197"/>
      <c r="C4" s="197"/>
      <c r="D4" s="40"/>
      <c r="E4" s="198" t="str">
        <f>AnneeEnCours!A6</f>
        <v>Dépt 2</v>
      </c>
      <c r="F4" s="198"/>
      <c r="G4" s="198"/>
      <c r="H4" s="40"/>
      <c r="I4" s="198" t="str">
        <f>AnneeEnCours!A7</f>
        <v>Dépt 3</v>
      </c>
      <c r="J4" s="198"/>
      <c r="K4" s="198"/>
      <c r="L4" s="40"/>
    </row>
    <row r="5" spans="1:12" ht="15.75" thickBot="1" x14ac:dyDescent="0.3">
      <c r="A5" s="40"/>
      <c r="B5" s="41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6" customFormat="1" ht="18" x14ac:dyDescent="0.25">
      <c r="A6" s="194" t="s">
        <v>16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  <c r="L6" s="42"/>
    </row>
    <row r="7" spans="1:12" s="28" customFormat="1" ht="11.1" customHeight="1" x14ac:dyDescent="0.25">
      <c r="A7" s="43" t="s">
        <v>20</v>
      </c>
      <c r="B7" s="43" t="s">
        <v>16</v>
      </c>
      <c r="C7" s="43" t="s">
        <v>22</v>
      </c>
      <c r="D7" s="44"/>
      <c r="E7" s="43" t="s">
        <v>20</v>
      </c>
      <c r="F7" s="43" t="s">
        <v>16</v>
      </c>
      <c r="G7" s="43" t="s">
        <v>22</v>
      </c>
      <c r="H7" s="44"/>
      <c r="I7" s="43" t="s">
        <v>20</v>
      </c>
      <c r="J7" s="43" t="s">
        <v>16</v>
      </c>
      <c r="K7" s="43" t="s">
        <v>22</v>
      </c>
      <c r="L7" s="45"/>
    </row>
    <row r="8" spans="1:12" ht="33" customHeight="1" thickBot="1" x14ac:dyDescent="0.3">
      <c r="A8" s="46">
        <f>SUM(Dept1An)</f>
        <v>96361</v>
      </c>
      <c r="B8" s="47">
        <v>205350</v>
      </c>
      <c r="C8" s="9">
        <f>A8/B8</f>
        <v>0.4692524957389822</v>
      </c>
      <c r="D8" s="48"/>
      <c r="E8" s="49">
        <f>SUM(Dept2An)</f>
        <v>139118.20000000001</v>
      </c>
      <c r="F8" s="47">
        <v>181100</v>
      </c>
      <c r="G8" s="9">
        <f>E8/F8</f>
        <v>0.76818442849254565</v>
      </c>
      <c r="H8" s="48"/>
      <c r="I8" s="49">
        <f>SUM(Dept3An)</f>
        <v>55550</v>
      </c>
      <c r="J8" s="47">
        <v>106500</v>
      </c>
      <c r="K8" s="10">
        <f>I8/J8</f>
        <v>0.52159624413145544</v>
      </c>
      <c r="L8" s="40"/>
    </row>
    <row r="9" spans="1:12" ht="24" customHeight="1" thickBot="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s="6" customFormat="1" ht="18" x14ac:dyDescent="0.25">
      <c r="A10" s="189" t="s">
        <v>18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1"/>
      <c r="L10" s="42"/>
    </row>
    <row r="11" spans="1:12" s="28" customFormat="1" ht="11.1" customHeight="1" x14ac:dyDescent="0.25">
      <c r="A11" s="43" t="s">
        <v>20</v>
      </c>
      <c r="B11" s="43" t="s">
        <v>21</v>
      </c>
      <c r="C11" s="43" t="s">
        <v>22</v>
      </c>
      <c r="D11" s="44"/>
      <c r="E11" s="43" t="s">
        <v>20</v>
      </c>
      <c r="F11" s="43" t="s">
        <v>21</v>
      </c>
      <c r="G11" s="43" t="s">
        <v>22</v>
      </c>
      <c r="H11" s="44"/>
      <c r="I11" s="43" t="s">
        <v>20</v>
      </c>
      <c r="J11" s="43" t="s">
        <v>21</v>
      </c>
      <c r="K11" s="43" t="s">
        <v>22</v>
      </c>
      <c r="L11" s="45"/>
    </row>
    <row r="12" spans="1:12" ht="33" customHeight="1" thickBot="1" x14ac:dyDescent="0.3">
      <c r="A12" s="46">
        <f>SUM(Dept1An)</f>
        <v>96361</v>
      </c>
      <c r="B12" s="47">
        <f>SUM(Dept1AnP)</f>
        <v>195577</v>
      </c>
      <c r="C12" s="9">
        <f>A12/B12</f>
        <v>0.49270108448334926</v>
      </c>
      <c r="D12" s="48"/>
      <c r="E12" s="49">
        <f>SUM(Dept2An)</f>
        <v>139118.20000000001</v>
      </c>
      <c r="F12" s="47">
        <f>SUM(Dept2AnP)</f>
        <v>272916.21999999997</v>
      </c>
      <c r="G12" s="9">
        <f>E12/F12</f>
        <v>0.50974691060868438</v>
      </c>
      <c r="H12" s="48"/>
      <c r="I12" s="49">
        <f>SUM(Dept3An)</f>
        <v>55550</v>
      </c>
      <c r="J12" s="47">
        <f>SUM(Dept3AnP)</f>
        <v>99457</v>
      </c>
      <c r="K12" s="10">
        <f>I12/J12</f>
        <v>0.55853283328473613</v>
      </c>
      <c r="L12" s="40"/>
    </row>
    <row r="13" spans="1:12" ht="24" customHeight="1" thickBot="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2" s="6" customFormat="1" ht="18" x14ac:dyDescent="0.25">
      <c r="A14" s="189" t="s">
        <v>17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1"/>
      <c r="L14" s="42"/>
    </row>
    <row r="15" spans="1:12" s="28" customFormat="1" ht="11.1" customHeight="1" x14ac:dyDescent="0.25">
      <c r="A15" s="43" t="s">
        <v>20</v>
      </c>
      <c r="B15" s="43" t="s">
        <v>21</v>
      </c>
      <c r="C15" s="43" t="s">
        <v>22</v>
      </c>
      <c r="D15" s="44"/>
      <c r="E15" s="43" t="s">
        <v>20</v>
      </c>
      <c r="F15" s="43" t="s">
        <v>21</v>
      </c>
      <c r="G15" s="43" t="s">
        <v>22</v>
      </c>
      <c r="H15" s="44"/>
      <c r="I15" s="43" t="s">
        <v>20</v>
      </c>
      <c r="J15" s="43" t="s">
        <v>21</v>
      </c>
      <c r="K15" s="43" t="s">
        <v>22</v>
      </c>
      <c r="L15" s="45"/>
    </row>
    <row r="16" spans="1:12" ht="33" customHeight="1" thickBot="1" x14ac:dyDescent="0.3">
      <c r="A16" s="46">
        <f>AVERAGE(Dept1An)</f>
        <v>16060.166666666666</v>
      </c>
      <c r="B16" s="47">
        <f>AVERAGE(Dept1AnP)</f>
        <v>16298.083333333334</v>
      </c>
      <c r="C16" s="9">
        <f>(A16/B16)-1</f>
        <v>-1.4597831033301589E-2</v>
      </c>
      <c r="D16" s="48"/>
      <c r="E16" s="49">
        <f>AVERAGE(Dept2An)</f>
        <v>23186.366666666669</v>
      </c>
      <c r="F16" s="47">
        <f>AVERAGE(Dept2AnP)</f>
        <v>22743.01833333333</v>
      </c>
      <c r="G16" s="9">
        <f>(E16/F16)-1</f>
        <v>1.9493821217368756E-2</v>
      </c>
      <c r="H16" s="48"/>
      <c r="I16" s="49">
        <f>AVERAGE(Dept3An)</f>
        <v>9258.3333333333339</v>
      </c>
      <c r="J16" s="47">
        <f>AVERAGE(Dept3AnP)</f>
        <v>8288.0833333333339</v>
      </c>
      <c r="K16" s="10">
        <f>(I16/J16)-1</f>
        <v>0.11706566656947226</v>
      </c>
      <c r="L16" s="40"/>
    </row>
    <row r="17" spans="1:12" ht="24" customHeight="1" thickBot="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7.25" customHeight="1" thickBot="1" x14ac:dyDescent="0.3">
      <c r="A18" s="189" t="s">
        <v>0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1"/>
      <c r="L18" s="40"/>
    </row>
    <row r="19" spans="1:12" ht="17.25" customHeight="1" x14ac:dyDescent="0.25">
      <c r="A19" s="189" t="s">
        <v>19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1"/>
      <c r="L19" s="40"/>
    </row>
    <row r="20" spans="1:12" s="28" customFormat="1" ht="11.1" customHeight="1" x14ac:dyDescent="0.25">
      <c r="A20" s="43" t="s">
        <v>20</v>
      </c>
      <c r="B20" s="43" t="s">
        <v>21</v>
      </c>
      <c r="C20" s="43" t="s">
        <v>22</v>
      </c>
      <c r="D20" s="44"/>
      <c r="E20" s="43" t="s">
        <v>20</v>
      </c>
      <c r="F20" s="43" t="s">
        <v>21</v>
      </c>
      <c r="G20" s="43" t="s">
        <v>22</v>
      </c>
      <c r="H20" s="44"/>
      <c r="I20" s="43" t="s">
        <v>20</v>
      </c>
      <c r="J20" s="43" t="s">
        <v>21</v>
      </c>
      <c r="K20" s="43" t="s">
        <v>22</v>
      </c>
      <c r="L20" s="45"/>
    </row>
    <row r="21" spans="1:12" ht="33" customHeight="1" thickBot="1" x14ac:dyDescent="0.3">
      <c r="A21" s="46">
        <f>HLOOKUP(C_Mois,D_Annee,2,FALSE)</f>
        <v>14355</v>
      </c>
      <c r="B21" s="47">
        <f>HLOOKUP(C_Mois,D_AnneeP,2,FALSE)</f>
        <v>13503</v>
      </c>
      <c r="C21" s="9">
        <f>(A21/B21)-1</f>
        <v>6.3097089535658846E-2</v>
      </c>
      <c r="D21" s="48"/>
      <c r="E21" s="49">
        <f>HLOOKUP(C_Mois,D_Annee,3,FALSE)</f>
        <v>19068</v>
      </c>
      <c r="F21" s="47">
        <f>HLOOKUP(C_Mois,D_AnneeP,3,FALSE)</f>
        <v>17575.54</v>
      </c>
      <c r="G21" s="9">
        <f>(E21/F21)-1</f>
        <v>8.491687879860299E-2</v>
      </c>
      <c r="H21" s="48"/>
      <c r="I21" s="49">
        <f>HLOOKUP(C_Mois,D_Annee,4,FALSE)</f>
        <v>9870</v>
      </c>
      <c r="J21" s="47">
        <f>HLOOKUP(C_Mois,D_AnneeP,4,FALSE)</f>
        <v>8500</v>
      </c>
      <c r="K21" s="10">
        <f>(I21/J21)-1</f>
        <v>0.16117647058823525</v>
      </c>
      <c r="L21" s="40"/>
    </row>
    <row r="22" spans="1:12" ht="24" customHeight="1" thickBot="1" x14ac:dyDescent="0.3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ht="17.25" customHeight="1" x14ac:dyDescent="0.25">
      <c r="A23" s="189" t="s">
        <v>23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1"/>
      <c r="L23" s="40"/>
    </row>
    <row r="24" spans="1:12" ht="17.25" customHeight="1" x14ac:dyDescent="0.25">
      <c r="A24" s="50"/>
      <c r="B24" s="51"/>
      <c r="C24" s="51"/>
      <c r="D24" s="51"/>
      <c r="E24" s="52" t="s">
        <v>24</v>
      </c>
      <c r="F24" s="53" t="s">
        <v>25</v>
      </c>
      <c r="G24" s="54" t="str">
        <f ca="1">D_Mois_EnCours</f>
        <v>Juin</v>
      </c>
      <c r="H24" s="51"/>
      <c r="I24" s="51"/>
      <c r="J24" s="51"/>
      <c r="K24" s="55"/>
      <c r="L24" s="40"/>
    </row>
    <row r="25" spans="1:12" s="28" customFormat="1" ht="11.1" customHeight="1" x14ac:dyDescent="0.25">
      <c r="A25" s="43" t="s">
        <v>20</v>
      </c>
      <c r="B25" s="43" t="s">
        <v>21</v>
      </c>
      <c r="C25" s="43" t="s">
        <v>22</v>
      </c>
      <c r="D25" s="44"/>
      <c r="E25" s="43" t="s">
        <v>20</v>
      </c>
      <c r="F25" s="43" t="s">
        <v>21</v>
      </c>
      <c r="G25" s="43" t="s">
        <v>22</v>
      </c>
      <c r="H25" s="44"/>
      <c r="I25" s="43" t="s">
        <v>20</v>
      </c>
      <c r="J25" s="43" t="s">
        <v>21</v>
      </c>
      <c r="K25" s="43" t="s">
        <v>22</v>
      </c>
      <c r="L25" s="45"/>
    </row>
    <row r="26" spans="1:12" ht="33" customHeight="1" thickBot="1" x14ac:dyDescent="0.3">
      <c r="A26" s="46">
        <f ca="1">SUM(Dept1AnCum)</f>
        <v>96361</v>
      </c>
      <c r="B26" s="47">
        <f ca="1">SUM(Dept1AnPCum)</f>
        <v>89324</v>
      </c>
      <c r="C26" s="9">
        <f ca="1">(A26/B26)-1</f>
        <v>7.8780618870628372E-2</v>
      </c>
      <c r="D26" s="48"/>
      <c r="E26" s="49">
        <f ca="1">SUM(Dept2AnCum)</f>
        <v>139118.20000000001</v>
      </c>
      <c r="F26" s="47">
        <f ca="1">SUM(Dept2AnPCum)</f>
        <v>134496.71000000002</v>
      </c>
      <c r="G26" s="9">
        <f ca="1">(E26/F26)-1</f>
        <v>3.4361360958197418E-2</v>
      </c>
      <c r="H26" s="48"/>
      <c r="I26" s="49">
        <f ca="1">SUM(Dept3AnCum)</f>
        <v>55550</v>
      </c>
      <c r="J26" s="47">
        <f ca="1">SUM(Dept3AnPCum)</f>
        <v>51856</v>
      </c>
      <c r="K26" s="10">
        <f ca="1">(I26/J26)-1</f>
        <v>7.1235729713051477E-2</v>
      </c>
      <c r="L26" s="40"/>
    </row>
    <row r="27" spans="1:12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x14ac:dyDescent="0.25">
      <c r="A28" s="115" t="s">
        <v>280</v>
      </c>
      <c r="B28" s="116">
        <f>B8/12</f>
        <v>17112.5</v>
      </c>
      <c r="C28" s="40"/>
      <c r="D28" s="40"/>
      <c r="E28" s="115" t="s">
        <v>280</v>
      </c>
      <c r="F28" s="116">
        <f>F8/12</f>
        <v>15091.666666666666</v>
      </c>
      <c r="G28" s="40"/>
      <c r="H28" s="40"/>
      <c r="I28" s="115" t="s">
        <v>280</v>
      </c>
      <c r="J28" s="116">
        <f>J8/12</f>
        <v>8875</v>
      </c>
      <c r="K28" s="40"/>
      <c r="L28" s="40"/>
    </row>
    <row r="29" spans="1:12" x14ac:dyDescent="0.25">
      <c r="A29" s="115" t="s">
        <v>281</v>
      </c>
      <c r="B29" s="116">
        <f ca="1">COUNT(Dept1AnCum)*B28</f>
        <v>102675</v>
      </c>
      <c r="C29" s="40"/>
      <c r="D29" s="40"/>
      <c r="E29" s="115" t="s">
        <v>281</v>
      </c>
      <c r="F29" s="116">
        <f ca="1">COUNT(Dept2AnCum)*F28</f>
        <v>90550</v>
      </c>
      <c r="G29" s="40"/>
      <c r="H29" s="40"/>
      <c r="I29" s="115" t="s">
        <v>281</v>
      </c>
      <c r="J29" s="116">
        <f ca="1">COUNT(Dept3AnCum)*J28</f>
        <v>53250</v>
      </c>
      <c r="K29" s="40"/>
      <c r="L29" s="40"/>
    </row>
    <row r="30" spans="1:12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N25"/>
  <sheetViews>
    <sheetView workbookViewId="0">
      <selection activeCell="E25" sqref="E25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199" t="s">
        <v>287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88" t="s">
        <v>263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89">
        <f>SUM(B5:M5)</f>
        <v>96361</v>
      </c>
    </row>
    <row r="6" spans="1:14" x14ac:dyDescent="0.25">
      <c r="A6" s="5" t="s">
        <v>13</v>
      </c>
      <c r="B6" s="1">
        <v>19068</v>
      </c>
      <c r="C6" s="1">
        <v>19804.21</v>
      </c>
      <c r="D6" s="1">
        <v>20316.990000000002</v>
      </c>
      <c r="E6" s="1">
        <v>22162</v>
      </c>
      <c r="F6" s="1">
        <v>28550</v>
      </c>
      <c r="G6" s="1">
        <v>29217</v>
      </c>
      <c r="H6" s="1"/>
      <c r="I6" s="1"/>
      <c r="J6" s="1"/>
      <c r="K6" s="1"/>
      <c r="L6" s="1"/>
      <c r="M6" s="1"/>
      <c r="N6" s="89">
        <f>SUM(B6:M6)</f>
        <v>139118.20000000001</v>
      </c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89">
        <f>SUM(B7:M7)</f>
        <v>55550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</row>
    <row r="11" spans="1:14" x14ac:dyDescent="0.25">
      <c r="B11" s="1"/>
      <c r="C11" s="1"/>
      <c r="D11" s="1"/>
      <c r="E11" s="1"/>
      <c r="F11" s="1"/>
      <c r="G11" s="1"/>
    </row>
    <row r="12" spans="1:14" ht="18.75" x14ac:dyDescent="0.3">
      <c r="B12" s="200" t="s">
        <v>288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14" x14ac:dyDescent="0.25">
      <c r="B13" s="4" t="s">
        <v>0</v>
      </c>
      <c r="C13" s="4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</row>
    <row r="14" spans="1:14" x14ac:dyDescent="0.25">
      <c r="A14" s="5" t="s">
        <v>12</v>
      </c>
      <c r="B14" s="1">
        <v>15776.904740416001</v>
      </c>
      <c r="C14" s="1">
        <v>13072.17913361681</v>
      </c>
      <c r="D14" s="1">
        <v>15279.320170056308</v>
      </c>
      <c r="E14" s="1">
        <v>13589.730321009332</v>
      </c>
      <c r="F14" s="1">
        <v>16498.518123700895</v>
      </c>
      <c r="G14" s="1">
        <v>11450.839988148029</v>
      </c>
      <c r="H14" s="1"/>
      <c r="I14" s="1"/>
      <c r="J14" s="1"/>
      <c r="K14" s="1"/>
      <c r="L14" s="1"/>
      <c r="M14" s="1"/>
      <c r="N14" s="89">
        <f>SUM(B14:M14)</f>
        <v>85667.492476947373</v>
      </c>
    </row>
    <row r="15" spans="1:14" x14ac:dyDescent="0.25">
      <c r="A15" s="5" t="s">
        <v>13</v>
      </c>
      <c r="B15" s="1">
        <v>19104.485776008733</v>
      </c>
      <c r="C15" s="1">
        <v>17686.362633414181</v>
      </c>
      <c r="D15" s="1">
        <v>21731.777532909324</v>
      </c>
      <c r="E15" s="1">
        <v>21103.647759772663</v>
      </c>
      <c r="F15" s="1">
        <v>22248.532399116091</v>
      </c>
      <c r="G15" s="1">
        <v>30139.693660634923</v>
      </c>
      <c r="H15" s="1"/>
      <c r="I15" s="1"/>
      <c r="J15" s="1"/>
      <c r="K15" s="1"/>
      <c r="L15" s="1"/>
      <c r="M15" s="1"/>
      <c r="N15" s="89">
        <f>SUM(B15:M15)</f>
        <v>132014.4997618559</v>
      </c>
    </row>
    <row r="16" spans="1:14" x14ac:dyDescent="0.25">
      <c r="A16" s="5" t="s">
        <v>14</v>
      </c>
      <c r="B16" s="1">
        <v>4771.2143488197071</v>
      </c>
      <c r="C16" s="1">
        <v>7666.6348293646006</v>
      </c>
      <c r="D16" s="1">
        <v>2559.4909655777396</v>
      </c>
      <c r="E16" s="1">
        <v>9520.0667116944696</v>
      </c>
      <c r="F16" s="1">
        <v>6310.5525583804247</v>
      </c>
      <c r="G16" s="1">
        <v>5155.2821495078688</v>
      </c>
      <c r="H16" s="1"/>
      <c r="I16" s="1"/>
      <c r="J16" s="1"/>
      <c r="K16" s="1"/>
      <c r="L16" s="1"/>
      <c r="M16" s="1"/>
      <c r="N16" s="89">
        <f>SUM(B16:M16)</f>
        <v>35983.241563344811</v>
      </c>
    </row>
    <row r="20" spans="1:14" ht="18.75" x14ac:dyDescent="0.3">
      <c r="B20" s="201" t="s">
        <v>289</v>
      </c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4" x14ac:dyDescent="0.25">
      <c r="A21" s="5" t="s">
        <v>282</v>
      </c>
      <c r="B21" s="4" t="s">
        <v>0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4" t="s">
        <v>7</v>
      </c>
      <c r="J21" s="4" t="s">
        <v>8</v>
      </c>
      <c r="K21" s="4" t="s">
        <v>9</v>
      </c>
      <c r="L21" s="4" t="s">
        <v>10</v>
      </c>
      <c r="M21" s="4" t="s">
        <v>11</v>
      </c>
      <c r="N21" s="5" t="s">
        <v>282</v>
      </c>
    </row>
    <row r="22" spans="1:14" x14ac:dyDescent="0.25">
      <c r="A22" s="5" t="s">
        <v>283</v>
      </c>
      <c r="B22" s="117">
        <f>SUM(B5:B7)</f>
        <v>43293</v>
      </c>
      <c r="C22" s="117">
        <f t="shared" ref="C22:M22" si="0">SUM(C5:C7)</f>
        <v>45879.21</v>
      </c>
      <c r="D22" s="117">
        <f t="shared" si="0"/>
        <v>44975.990000000005</v>
      </c>
      <c r="E22" s="117">
        <f t="shared" si="0"/>
        <v>43672</v>
      </c>
      <c r="F22" s="117">
        <f t="shared" si="0"/>
        <v>56977</v>
      </c>
      <c r="G22" s="117">
        <f t="shared" si="0"/>
        <v>56232</v>
      </c>
      <c r="H22" s="117">
        <f t="shared" si="0"/>
        <v>0</v>
      </c>
      <c r="I22" s="117">
        <f t="shared" si="0"/>
        <v>0</v>
      </c>
      <c r="J22" s="117">
        <f t="shared" si="0"/>
        <v>0</v>
      </c>
      <c r="K22" s="117">
        <f t="shared" si="0"/>
        <v>0</v>
      </c>
      <c r="L22" s="117">
        <f t="shared" si="0"/>
        <v>0</v>
      </c>
      <c r="M22" s="117">
        <f t="shared" si="0"/>
        <v>0</v>
      </c>
      <c r="N22" s="117">
        <f>SUM(B22:M22)</f>
        <v>291029.2</v>
      </c>
    </row>
    <row r="23" spans="1:14" x14ac:dyDescent="0.25">
      <c r="A23" s="5" t="s">
        <v>284</v>
      </c>
      <c r="B23" s="117">
        <f>SUM(B14:B16)</f>
        <v>39652.604865244444</v>
      </c>
      <c r="C23" s="117">
        <f t="shared" ref="C23:M23" si="1">SUM(C14:C16)</f>
        <v>38425.176596395591</v>
      </c>
      <c r="D23" s="117">
        <f t="shared" si="1"/>
        <v>39570.588668543372</v>
      </c>
      <c r="E23" s="117">
        <f t="shared" si="1"/>
        <v>44213.444792476461</v>
      </c>
      <c r="F23" s="117">
        <f t="shared" si="1"/>
        <v>45057.603081197412</v>
      </c>
      <c r="G23" s="117">
        <f t="shared" si="1"/>
        <v>46745.815798290816</v>
      </c>
      <c r="H23" s="117">
        <f t="shared" si="1"/>
        <v>0</v>
      </c>
      <c r="I23" s="117">
        <f t="shared" si="1"/>
        <v>0</v>
      </c>
      <c r="J23" s="117">
        <f t="shared" si="1"/>
        <v>0</v>
      </c>
      <c r="K23" s="117">
        <f t="shared" si="1"/>
        <v>0</v>
      </c>
      <c r="L23" s="117">
        <f t="shared" si="1"/>
        <v>0</v>
      </c>
      <c r="M23" s="117">
        <f t="shared" si="1"/>
        <v>0</v>
      </c>
      <c r="N23" s="117">
        <f>SUM(B23:M23)</f>
        <v>253665.23380214808</v>
      </c>
    </row>
    <row r="24" spans="1:14" x14ac:dyDescent="0.25">
      <c r="A24" s="5" t="s">
        <v>285</v>
      </c>
      <c r="B24" s="117">
        <f t="shared" ref="B24:N24" si="2">B22-B23</f>
        <v>3640.3951347555558</v>
      </c>
      <c r="C24" s="117">
        <f t="shared" si="2"/>
        <v>7454.0334036044078</v>
      </c>
      <c r="D24" s="117">
        <f t="shared" si="2"/>
        <v>5405.4013314566328</v>
      </c>
      <c r="E24" s="117">
        <f t="shared" si="2"/>
        <v>-541.44479247646086</v>
      </c>
      <c r="F24" s="117">
        <f t="shared" si="2"/>
        <v>11919.396918802588</v>
      </c>
      <c r="G24" s="117">
        <f t="shared" si="2"/>
        <v>9486.184201709184</v>
      </c>
      <c r="H24" s="117">
        <f t="shared" si="2"/>
        <v>0</v>
      </c>
      <c r="I24" s="117">
        <f t="shared" si="2"/>
        <v>0</v>
      </c>
      <c r="J24" s="117">
        <f t="shared" si="2"/>
        <v>0</v>
      </c>
      <c r="K24" s="117">
        <f t="shared" si="2"/>
        <v>0</v>
      </c>
      <c r="L24" s="117">
        <f t="shared" si="2"/>
        <v>0</v>
      </c>
      <c r="M24" s="117">
        <f t="shared" si="2"/>
        <v>0</v>
      </c>
      <c r="N24" s="117">
        <f t="shared" si="2"/>
        <v>37363.966197851929</v>
      </c>
    </row>
    <row r="25" spans="1:14" x14ac:dyDescent="0.25">
      <c r="A25" s="5" t="s">
        <v>286</v>
      </c>
      <c r="B25" s="118">
        <f>(B22/B23)-1</f>
        <v>9.1807212845841812E-2</v>
      </c>
      <c r="C25" s="118">
        <f t="shared" ref="C25:M25" si="3">(C22/C23)-1</f>
        <v>0.19398826664868518</v>
      </c>
      <c r="D25" s="118">
        <f t="shared" si="3"/>
        <v>0.13660148896783175</v>
      </c>
      <c r="E25" s="118">
        <f t="shared" si="3"/>
        <v>-1.2246157136541314E-2</v>
      </c>
      <c r="F25" s="118">
        <f t="shared" si="3"/>
        <v>0.26453686178829527</v>
      </c>
      <c r="G25" s="118">
        <f t="shared" si="3"/>
        <v>0.20293119372741875</v>
      </c>
      <c r="H25" s="118" t="e">
        <f t="shared" si="3"/>
        <v>#DIV/0!</v>
      </c>
      <c r="I25" s="118" t="e">
        <f t="shared" si="3"/>
        <v>#DIV/0!</v>
      </c>
      <c r="J25" s="118" t="e">
        <f t="shared" si="3"/>
        <v>#DIV/0!</v>
      </c>
      <c r="K25" s="118" t="e">
        <f t="shared" si="3"/>
        <v>#DIV/0!</v>
      </c>
      <c r="L25" s="118" t="e">
        <f t="shared" si="3"/>
        <v>#DIV/0!</v>
      </c>
      <c r="M25" s="118" t="e">
        <f t="shared" si="3"/>
        <v>#DIV/0!</v>
      </c>
      <c r="N25" s="118">
        <f>(N22/N23)-1</f>
        <v>0.14729636236629418</v>
      </c>
    </row>
  </sheetData>
  <mergeCells count="3">
    <mergeCell ref="B3:M3"/>
    <mergeCell ref="B12:M12"/>
    <mergeCell ref="B20:M20"/>
  </mergeCell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25"/>
  <sheetViews>
    <sheetView workbookViewId="0">
      <selection activeCell="B20" sqref="B20:M20"/>
    </sheetView>
  </sheetViews>
  <sheetFormatPr baseColWidth="10" defaultRowHeight="15" x14ac:dyDescent="0.25"/>
  <cols>
    <col min="2" max="13" width="11.7109375" customWidth="1"/>
  </cols>
  <sheetData>
    <row r="3" spans="1:14" ht="18.75" x14ac:dyDescent="0.3">
      <c r="B3" s="199" t="s">
        <v>287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4" x14ac:dyDescent="0.25">
      <c r="A6" s="3" t="s">
        <v>13</v>
      </c>
      <c r="B6" s="1">
        <v>17575.54</v>
      </c>
      <c r="C6" s="1">
        <v>22411</v>
      </c>
      <c r="D6" s="1">
        <v>27660</v>
      </c>
      <c r="E6" s="1">
        <v>21902.17</v>
      </c>
      <c r="F6" s="1">
        <v>20438</v>
      </c>
      <c r="G6" s="1">
        <v>24510</v>
      </c>
      <c r="H6" s="1">
        <v>22124.799999999999</v>
      </c>
      <c r="I6" s="1">
        <v>12902.28</v>
      </c>
      <c r="J6" s="1">
        <v>21104.400000000001</v>
      </c>
      <c r="K6" s="1">
        <v>28636.810000000005</v>
      </c>
      <c r="L6" s="1">
        <v>26141.219999999998</v>
      </c>
      <c r="M6" s="1">
        <v>27510</v>
      </c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6255</v>
      </c>
      <c r="J7" s="1">
        <v>8005</v>
      </c>
      <c r="K7" s="1">
        <v>8405</v>
      </c>
      <c r="L7" s="1">
        <v>9225</v>
      </c>
      <c r="M7" s="1">
        <v>7856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2" spans="1:14" ht="18.75" x14ac:dyDescent="0.3">
      <c r="B12" s="200" t="s">
        <v>288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14" x14ac:dyDescent="0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</row>
    <row r="14" spans="1:14" x14ac:dyDescent="0.25">
      <c r="A14" s="3" t="s">
        <v>12</v>
      </c>
      <c r="B14" s="1">
        <v>18432</v>
      </c>
      <c r="C14" s="1">
        <v>13939.90446365051</v>
      </c>
      <c r="D14" s="1">
        <v>14168.541640361498</v>
      </c>
      <c r="E14" s="1">
        <v>12375.320555887007</v>
      </c>
      <c r="F14" s="1">
        <v>16044.765620886301</v>
      </c>
      <c r="G14" s="1">
        <v>12856.958392766643</v>
      </c>
      <c r="H14" s="1">
        <v>15650.909285612935</v>
      </c>
      <c r="I14" s="1">
        <v>14980.632322197245</v>
      </c>
      <c r="J14" s="1">
        <v>14752.303457101234</v>
      </c>
      <c r="K14" s="1">
        <v>13623.299026104292</v>
      </c>
      <c r="L14" s="1">
        <v>14589.765195117912</v>
      </c>
      <c r="M14" s="1">
        <v>14220</v>
      </c>
      <c r="N14" s="117"/>
    </row>
    <row r="15" spans="1:14" x14ac:dyDescent="0.25">
      <c r="A15" s="3" t="s">
        <v>13</v>
      </c>
      <c r="B15" s="1">
        <v>22613</v>
      </c>
      <c r="C15" s="1">
        <v>16616.668017044904</v>
      </c>
      <c r="D15" s="1">
        <v>24228.807589653454</v>
      </c>
      <c r="E15" s="1">
        <v>19580.280176603312</v>
      </c>
      <c r="F15" s="1">
        <v>21829.310780741354</v>
      </c>
      <c r="G15" s="1">
        <v>18560.67568407354</v>
      </c>
      <c r="H15" s="1">
        <v>20101.912081229289</v>
      </c>
      <c r="I15" s="1">
        <v>22607</v>
      </c>
      <c r="J15" s="1">
        <v>22463.087526186238</v>
      </c>
      <c r="K15" s="1">
        <v>25452.806658554029</v>
      </c>
      <c r="L15" s="1">
        <v>26447.724839869672</v>
      </c>
      <c r="M15" s="1">
        <v>25633</v>
      </c>
      <c r="N15" s="117"/>
    </row>
    <row r="16" spans="1:14" x14ac:dyDescent="0.25">
      <c r="A16" s="3" t="s">
        <v>14</v>
      </c>
      <c r="B16" s="1">
        <v>5613.1528423912323</v>
      </c>
      <c r="C16" s="1">
        <v>5480.5409205095984</v>
      </c>
      <c r="D16" s="1">
        <v>8857.8113237367143</v>
      </c>
      <c r="E16" s="1">
        <v>4367.961469885563</v>
      </c>
      <c r="F16" s="1">
        <v>4238</v>
      </c>
      <c r="G16" s="1">
        <v>5714</v>
      </c>
      <c r="H16" s="1">
        <v>4850</v>
      </c>
      <c r="I16" s="1">
        <v>5021</v>
      </c>
      <c r="J16" s="1">
        <v>3274.2826758370475</v>
      </c>
      <c r="K16" s="1">
        <v>10608.561416198829</v>
      </c>
      <c r="L16" s="1">
        <v>5518.5376077692854</v>
      </c>
      <c r="M16" s="1">
        <v>3674.7194713980025</v>
      </c>
      <c r="N16" s="117"/>
    </row>
    <row r="20" spans="1:14" ht="18.75" x14ac:dyDescent="0.3">
      <c r="B20" s="201" t="s">
        <v>289</v>
      </c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4" x14ac:dyDescent="0.25">
      <c r="A21" s="3" t="s">
        <v>282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</v>
      </c>
      <c r="G21" s="2" t="s">
        <v>5</v>
      </c>
      <c r="H21" s="2" t="s">
        <v>6</v>
      </c>
      <c r="I21" s="2" t="s">
        <v>7</v>
      </c>
      <c r="J21" s="2" t="s">
        <v>8</v>
      </c>
      <c r="K21" s="2" t="s">
        <v>9</v>
      </c>
      <c r="L21" s="2" t="s">
        <v>10</v>
      </c>
      <c r="M21" s="2" t="s">
        <v>11</v>
      </c>
      <c r="N21" s="3" t="s">
        <v>282</v>
      </c>
    </row>
    <row r="22" spans="1:14" x14ac:dyDescent="0.25">
      <c r="A22" s="3" t="s">
        <v>283</v>
      </c>
      <c r="B22" s="117">
        <f>SUM(B5:B7)</f>
        <v>39578.54</v>
      </c>
      <c r="C22" s="117">
        <f t="shared" ref="C22:M22" si="0">SUM(C5:C7)</f>
        <v>47076</v>
      </c>
      <c r="D22" s="117">
        <f t="shared" si="0"/>
        <v>50096</v>
      </c>
      <c r="E22" s="117">
        <f t="shared" si="0"/>
        <v>41797.17</v>
      </c>
      <c r="F22" s="117">
        <f t="shared" si="0"/>
        <v>47969</v>
      </c>
      <c r="G22" s="117">
        <f t="shared" si="0"/>
        <v>49160</v>
      </c>
      <c r="H22" s="117">
        <f t="shared" si="0"/>
        <v>45519.8</v>
      </c>
      <c r="I22" s="117">
        <f t="shared" si="0"/>
        <v>37913.279999999999</v>
      </c>
      <c r="J22" s="117">
        <f t="shared" si="0"/>
        <v>42653.4</v>
      </c>
      <c r="K22" s="117">
        <f t="shared" si="0"/>
        <v>55781.810000000005</v>
      </c>
      <c r="L22" s="117">
        <f t="shared" si="0"/>
        <v>55376.22</v>
      </c>
      <c r="M22" s="117">
        <f t="shared" si="0"/>
        <v>55029</v>
      </c>
      <c r="N22" s="117">
        <f>SUM(B22:M22)</f>
        <v>567950.22000000009</v>
      </c>
    </row>
    <row r="23" spans="1:14" x14ac:dyDescent="0.25">
      <c r="A23" s="3" t="s">
        <v>284</v>
      </c>
      <c r="B23" s="117">
        <f>SUM(B14:B16)</f>
        <v>46658.152842391231</v>
      </c>
      <c r="C23" s="117">
        <f t="shared" ref="C23:M23" si="1">SUM(C14:C16)</f>
        <v>36037.11340120501</v>
      </c>
      <c r="D23" s="117">
        <f t="shared" si="1"/>
        <v>47255.160553751666</v>
      </c>
      <c r="E23" s="117">
        <f t="shared" si="1"/>
        <v>36323.562202375884</v>
      </c>
      <c r="F23" s="117">
        <f t="shared" si="1"/>
        <v>42112.076401627652</v>
      </c>
      <c r="G23" s="117">
        <f t="shared" si="1"/>
        <v>37131.634076840186</v>
      </c>
      <c r="H23" s="117">
        <f t="shared" si="1"/>
        <v>40602.821366842225</v>
      </c>
      <c r="I23" s="117">
        <f t="shared" si="1"/>
        <v>42608.632322197242</v>
      </c>
      <c r="J23" s="117">
        <f t="shared" si="1"/>
        <v>40489.673659124521</v>
      </c>
      <c r="K23" s="117">
        <f t="shared" si="1"/>
        <v>49684.66710085715</v>
      </c>
      <c r="L23" s="117">
        <f t="shared" si="1"/>
        <v>46556.027642756868</v>
      </c>
      <c r="M23" s="117">
        <f t="shared" si="1"/>
        <v>43527.719471397999</v>
      </c>
      <c r="N23" s="117">
        <f>SUM(B23:M23)</f>
        <v>508987.24104136758</v>
      </c>
    </row>
    <row r="24" spans="1:14" x14ac:dyDescent="0.25">
      <c r="A24" s="3" t="s">
        <v>285</v>
      </c>
      <c r="B24" s="117">
        <f>ROUND(B22-B23,0)</f>
        <v>-7080</v>
      </c>
      <c r="C24" s="117">
        <f t="shared" ref="C24:M24" si="2">ROUND(C22-C23,0)</f>
        <v>11039</v>
      </c>
      <c r="D24" s="117">
        <f t="shared" si="2"/>
        <v>2841</v>
      </c>
      <c r="E24" s="117">
        <f t="shared" si="2"/>
        <v>5474</v>
      </c>
      <c r="F24" s="117">
        <f t="shared" si="2"/>
        <v>5857</v>
      </c>
      <c r="G24" s="117">
        <f t="shared" si="2"/>
        <v>12028</v>
      </c>
      <c r="H24" s="117">
        <f t="shared" si="2"/>
        <v>4917</v>
      </c>
      <c r="I24" s="117">
        <f t="shared" si="2"/>
        <v>-4695</v>
      </c>
      <c r="J24" s="117">
        <f t="shared" si="2"/>
        <v>2164</v>
      </c>
      <c r="K24" s="117">
        <f t="shared" si="2"/>
        <v>6097</v>
      </c>
      <c r="L24" s="117">
        <f t="shared" si="2"/>
        <v>8820</v>
      </c>
      <c r="M24" s="117">
        <f t="shared" si="2"/>
        <v>11501</v>
      </c>
      <c r="N24" s="117">
        <f>N22-N23</f>
        <v>58962.978958632506</v>
      </c>
    </row>
    <row r="25" spans="1:14" x14ac:dyDescent="0.25">
      <c r="A25" s="3" t="s">
        <v>286</v>
      </c>
      <c r="B25" s="118">
        <f>(B22/B23)-1</f>
        <v>-0.15173367163303242</v>
      </c>
      <c r="C25" s="118">
        <f t="shared" ref="C25:N25" si="3">(C22/C23)-1</f>
        <v>0.30631994510486704</v>
      </c>
      <c r="D25" s="118">
        <f t="shared" si="3"/>
        <v>6.011702029912569E-2</v>
      </c>
      <c r="E25" s="118">
        <f t="shared" si="3"/>
        <v>0.15069028106681914</v>
      </c>
      <c r="F25" s="118">
        <f t="shared" si="3"/>
        <v>0.1390794303874785</v>
      </c>
      <c r="G25" s="118">
        <f t="shared" si="3"/>
        <v>0.32393850209415298</v>
      </c>
      <c r="H25" s="118">
        <f t="shared" si="3"/>
        <v>0.12109943269048706</v>
      </c>
      <c r="I25" s="118">
        <f t="shared" si="3"/>
        <v>-0.1101972080843151</v>
      </c>
      <c r="J25" s="118">
        <f t="shared" si="3"/>
        <v>5.343896715719465E-2</v>
      </c>
      <c r="K25" s="118">
        <f t="shared" si="3"/>
        <v>0.12271679081125741</v>
      </c>
      <c r="L25" s="118">
        <f t="shared" si="3"/>
        <v>0.18945328465143163</v>
      </c>
      <c r="M25" s="118">
        <f t="shared" si="3"/>
        <v>0.2642288791665155</v>
      </c>
      <c r="N25" s="118">
        <f t="shared" si="3"/>
        <v>0.11584372692328526</v>
      </c>
    </row>
  </sheetData>
  <mergeCells count="3">
    <mergeCell ref="B3:M3"/>
    <mergeCell ref="B12:M12"/>
    <mergeCell ref="B20:M2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>
      <selection activeCell="A27" sqref="A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6" t="s">
        <v>271</v>
      </c>
    </row>
    <row r="2" spans="1:12" ht="15.75" thickBot="1" x14ac:dyDescent="0.3">
      <c r="A2" s="16"/>
    </row>
    <row r="3" spans="1:12" ht="21" customHeight="1" thickTop="1" thickBot="1" x14ac:dyDescent="0.3">
      <c r="A3" s="208" t="s">
        <v>118</v>
      </c>
      <c r="B3" s="208"/>
      <c r="D3" s="211" t="s">
        <v>132</v>
      </c>
      <c r="E3" s="211"/>
      <c r="G3" s="208" t="s">
        <v>62</v>
      </c>
      <c r="H3" s="208"/>
      <c r="J3" s="208" t="s">
        <v>119</v>
      </c>
      <c r="K3" s="208"/>
    </row>
    <row r="4" spans="1:12" ht="16.5" thickTop="1" thickBot="1" x14ac:dyDescent="0.3">
      <c r="A4" s="13" t="s">
        <v>180</v>
      </c>
      <c r="B4" s="20" t="s">
        <v>218</v>
      </c>
      <c r="D4" s="211"/>
      <c r="E4" s="211"/>
      <c r="G4" s="202" t="s">
        <v>120</v>
      </c>
      <c r="H4" s="203"/>
      <c r="J4" s="214" t="s">
        <v>121</v>
      </c>
      <c r="K4" s="214"/>
    </row>
    <row r="5" spans="1:12" ht="16.5" thickTop="1" thickBot="1" x14ac:dyDescent="0.3">
      <c r="A5" s="14" t="s">
        <v>99</v>
      </c>
      <c r="B5" s="12" t="s">
        <v>48</v>
      </c>
      <c r="D5" s="212" t="s">
        <v>133</v>
      </c>
      <c r="E5" s="213"/>
      <c r="G5" s="64" t="s">
        <v>193</v>
      </c>
      <c r="H5" s="20" t="s">
        <v>122</v>
      </c>
      <c r="J5" s="214" t="s">
        <v>123</v>
      </c>
      <c r="K5" s="214"/>
    </row>
    <row r="6" spans="1:12" ht="16.5" thickTop="1" thickBot="1" x14ac:dyDescent="0.3">
      <c r="A6" s="14" t="s">
        <v>26</v>
      </c>
      <c r="B6" s="12" t="s">
        <v>106</v>
      </c>
      <c r="D6" s="13" t="s">
        <v>128</v>
      </c>
      <c r="E6" s="20" t="s">
        <v>134</v>
      </c>
      <c r="G6" s="65" t="s">
        <v>124</v>
      </c>
      <c r="H6" s="17" t="s">
        <v>117</v>
      </c>
      <c r="J6" s="214" t="s">
        <v>125</v>
      </c>
      <c r="K6" s="214"/>
      <c r="L6" s="18"/>
    </row>
    <row r="7" spans="1:12" ht="16.5" thickTop="1" thickBot="1" x14ac:dyDescent="0.3">
      <c r="A7" s="14" t="s">
        <v>27</v>
      </c>
      <c r="B7" s="12" t="s">
        <v>107</v>
      </c>
      <c r="D7" s="14" t="s">
        <v>135</v>
      </c>
      <c r="E7" s="17" t="s">
        <v>136</v>
      </c>
      <c r="G7" s="65" t="s">
        <v>194</v>
      </c>
      <c r="H7" s="17" t="s">
        <v>195</v>
      </c>
      <c r="J7" s="214" t="s">
        <v>126</v>
      </c>
      <c r="K7" s="214"/>
    </row>
    <row r="8" spans="1:12" ht="16.5" thickTop="1" thickBot="1" x14ac:dyDescent="0.3">
      <c r="A8" s="14" t="s">
        <v>181</v>
      </c>
      <c r="B8" s="17" t="s">
        <v>251</v>
      </c>
      <c r="D8" s="14" t="s">
        <v>137</v>
      </c>
      <c r="E8" s="17" t="s">
        <v>138</v>
      </c>
      <c r="G8" s="65" t="s">
        <v>196</v>
      </c>
      <c r="H8" s="17" t="s">
        <v>197</v>
      </c>
      <c r="J8" s="214" t="s">
        <v>127</v>
      </c>
      <c r="K8" s="214"/>
    </row>
    <row r="9" spans="1:12" ht="15.75" thickTop="1" x14ac:dyDescent="0.25">
      <c r="A9" s="14" t="s">
        <v>108</v>
      </c>
      <c r="B9" s="12" t="s">
        <v>28</v>
      </c>
      <c r="D9" s="14" t="s">
        <v>139</v>
      </c>
      <c r="E9" s="17" t="s">
        <v>140</v>
      </c>
      <c r="G9" s="65" t="s">
        <v>128</v>
      </c>
      <c r="H9" s="17" t="s">
        <v>198</v>
      </c>
    </row>
    <row r="10" spans="1:12" x14ac:dyDescent="0.25">
      <c r="A10" s="14" t="s">
        <v>29</v>
      </c>
      <c r="B10" s="12" t="s">
        <v>45</v>
      </c>
      <c r="D10" s="14" t="s">
        <v>141</v>
      </c>
      <c r="E10" s="17" t="s">
        <v>142</v>
      </c>
      <c r="G10" s="65" t="s">
        <v>199</v>
      </c>
      <c r="H10" s="17" t="s">
        <v>200</v>
      </c>
    </row>
    <row r="11" spans="1:12" x14ac:dyDescent="0.25">
      <c r="A11" s="14" t="s">
        <v>109</v>
      </c>
      <c r="B11" s="12" t="s">
        <v>30</v>
      </c>
      <c r="D11" s="14" t="s">
        <v>143</v>
      </c>
      <c r="E11" s="17" t="s">
        <v>144</v>
      </c>
      <c r="G11" s="65" t="s">
        <v>201</v>
      </c>
      <c r="H11" s="17" t="s">
        <v>202</v>
      </c>
    </row>
    <row r="12" spans="1:12" x14ac:dyDescent="0.25">
      <c r="A12" s="14" t="s">
        <v>31</v>
      </c>
      <c r="B12" s="12" t="s">
        <v>32</v>
      </c>
      <c r="D12" s="14" t="s">
        <v>145</v>
      </c>
      <c r="E12" s="17" t="s">
        <v>146</v>
      </c>
      <c r="G12" s="65" t="s">
        <v>203</v>
      </c>
      <c r="H12" s="17" t="s">
        <v>204</v>
      </c>
    </row>
    <row r="13" spans="1:12" ht="15.75" thickBot="1" x14ac:dyDescent="0.3">
      <c r="A13" s="14" t="s">
        <v>33</v>
      </c>
      <c r="B13" s="12" t="s">
        <v>34</v>
      </c>
      <c r="D13" s="14" t="s">
        <v>147</v>
      </c>
      <c r="E13" s="17" t="s">
        <v>148</v>
      </c>
      <c r="G13" s="76" t="s">
        <v>248</v>
      </c>
      <c r="H13" s="77" t="s">
        <v>249</v>
      </c>
    </row>
    <row r="14" spans="1:12" ht="16.5" thickTop="1" thickBot="1" x14ac:dyDescent="0.3">
      <c r="A14" s="14" t="s">
        <v>35</v>
      </c>
      <c r="B14" s="12" t="s">
        <v>46</v>
      </c>
      <c r="D14" s="14" t="s">
        <v>149</v>
      </c>
      <c r="E14" s="17" t="s">
        <v>150</v>
      </c>
      <c r="J14" s="208" t="s">
        <v>187</v>
      </c>
      <c r="K14" s="208"/>
    </row>
    <row r="15" spans="1:12" ht="16.5" thickTop="1" thickBot="1" x14ac:dyDescent="0.3">
      <c r="A15" s="14" t="s">
        <v>110</v>
      </c>
      <c r="B15" s="12" t="s">
        <v>36</v>
      </c>
      <c r="D15" s="14" t="s">
        <v>151</v>
      </c>
      <c r="E15" s="17" t="s">
        <v>152</v>
      </c>
      <c r="G15" s="176" t="s">
        <v>129</v>
      </c>
      <c r="H15" s="178"/>
      <c r="J15" s="176" t="s">
        <v>165</v>
      </c>
      <c r="K15" s="178"/>
    </row>
    <row r="16" spans="1:12" x14ac:dyDescent="0.25">
      <c r="A16" s="14" t="s">
        <v>37</v>
      </c>
      <c r="B16" s="12" t="s">
        <v>38</v>
      </c>
      <c r="D16" s="14" t="s">
        <v>153</v>
      </c>
      <c r="E16" s="17" t="s">
        <v>154</v>
      </c>
      <c r="G16" s="11" t="s">
        <v>63</v>
      </c>
      <c r="H16" s="17" t="s">
        <v>56</v>
      </c>
      <c r="J16" s="206" t="s">
        <v>223</v>
      </c>
      <c r="K16" s="207"/>
    </row>
    <row r="17" spans="1:11" x14ac:dyDescent="0.25">
      <c r="A17" s="14" t="s">
        <v>39</v>
      </c>
      <c r="B17" s="12" t="s">
        <v>101</v>
      </c>
      <c r="D17" s="14" t="s">
        <v>155</v>
      </c>
      <c r="E17" s="17" t="s">
        <v>156</v>
      </c>
      <c r="G17" s="11" t="s">
        <v>64</v>
      </c>
      <c r="H17" s="17" t="s">
        <v>58</v>
      </c>
      <c r="J17" s="64" t="s">
        <v>109</v>
      </c>
      <c r="K17" s="23" t="s">
        <v>30</v>
      </c>
    </row>
    <row r="18" spans="1:11" x14ac:dyDescent="0.25">
      <c r="A18" s="14" t="s">
        <v>40</v>
      </c>
      <c r="B18" s="12" t="s">
        <v>47</v>
      </c>
      <c r="D18" s="14" t="s">
        <v>157</v>
      </c>
      <c r="E18" s="17" t="s">
        <v>158</v>
      </c>
      <c r="G18" s="11" t="s">
        <v>65</v>
      </c>
      <c r="H18" s="17" t="s">
        <v>60</v>
      </c>
      <c r="J18" s="65" t="s">
        <v>110</v>
      </c>
      <c r="K18" s="12" t="s">
        <v>36</v>
      </c>
    </row>
    <row r="19" spans="1:11" x14ac:dyDescent="0.25">
      <c r="A19" s="14" t="s">
        <v>111</v>
      </c>
      <c r="B19" s="12" t="s">
        <v>41</v>
      </c>
      <c r="D19" s="14" t="s">
        <v>159</v>
      </c>
      <c r="E19" s="17" t="s">
        <v>160</v>
      </c>
      <c r="G19" s="11" t="s">
        <v>66</v>
      </c>
      <c r="H19" s="17" t="s">
        <v>56</v>
      </c>
      <c r="J19" s="65" t="s">
        <v>111</v>
      </c>
      <c r="K19" s="12" t="s">
        <v>41</v>
      </c>
    </row>
    <row r="20" spans="1:11" x14ac:dyDescent="0.25">
      <c r="A20" s="14" t="s">
        <v>42</v>
      </c>
      <c r="B20" s="12" t="s">
        <v>43</v>
      </c>
      <c r="D20" s="15" t="s">
        <v>161</v>
      </c>
      <c r="E20" s="19" t="s">
        <v>162</v>
      </c>
      <c r="G20" s="11" t="s">
        <v>67</v>
      </c>
      <c r="H20" s="17" t="s">
        <v>68</v>
      </c>
      <c r="J20" s="65"/>
      <c r="K20" s="12"/>
    </row>
    <row r="21" spans="1:11" ht="15.75" thickBot="1" x14ac:dyDescent="0.3">
      <c r="A21" s="14" t="s">
        <v>44</v>
      </c>
      <c r="B21" s="12" t="s">
        <v>102</v>
      </c>
      <c r="G21" s="11" t="s">
        <v>69</v>
      </c>
      <c r="H21" s="17" t="s">
        <v>58</v>
      </c>
      <c r="J21" s="186" t="s">
        <v>224</v>
      </c>
      <c r="K21" s="188"/>
    </row>
    <row r="22" spans="1:11" ht="15.75" thickTop="1" x14ac:dyDescent="0.25">
      <c r="A22" s="14" t="s">
        <v>182</v>
      </c>
      <c r="B22" s="12" t="s">
        <v>183</v>
      </c>
      <c r="D22" s="212" t="s">
        <v>252</v>
      </c>
      <c r="E22" s="213"/>
      <c r="G22" s="11" t="s">
        <v>70</v>
      </c>
      <c r="H22" s="17" t="s">
        <v>71</v>
      </c>
      <c r="J22" s="65" t="s">
        <v>33</v>
      </c>
      <c r="K22" s="12" t="s">
        <v>34</v>
      </c>
    </row>
    <row r="23" spans="1:11" x14ac:dyDescent="0.25">
      <c r="A23" s="14" t="s">
        <v>184</v>
      </c>
      <c r="B23" s="12" t="s">
        <v>185</v>
      </c>
      <c r="D23" s="13" t="s">
        <v>188</v>
      </c>
      <c r="E23" s="20" t="s">
        <v>189</v>
      </c>
      <c r="G23" s="11" t="s">
        <v>72</v>
      </c>
      <c r="H23" s="17" t="s">
        <v>60</v>
      </c>
      <c r="J23" s="65" t="s">
        <v>39</v>
      </c>
      <c r="K23" s="12" t="s">
        <v>101</v>
      </c>
    </row>
    <row r="24" spans="1:11" x14ac:dyDescent="0.25">
      <c r="A24" s="14" t="s">
        <v>103</v>
      </c>
      <c r="B24" s="12" t="s">
        <v>104</v>
      </c>
      <c r="D24" s="14" t="s">
        <v>190</v>
      </c>
      <c r="E24" s="17" t="s">
        <v>191</v>
      </c>
      <c r="G24" s="11" t="s">
        <v>73</v>
      </c>
      <c r="H24" s="17" t="s">
        <v>74</v>
      </c>
      <c r="J24" s="65" t="s">
        <v>44</v>
      </c>
      <c r="K24" s="12" t="s">
        <v>102</v>
      </c>
    </row>
    <row r="25" spans="1:11" x14ac:dyDescent="0.25">
      <c r="A25" s="14" t="s">
        <v>112</v>
      </c>
      <c r="B25" s="12" t="s">
        <v>105</v>
      </c>
      <c r="D25" s="15" t="s">
        <v>64</v>
      </c>
      <c r="E25" s="19" t="s">
        <v>192</v>
      </c>
      <c r="G25" s="11" t="s">
        <v>75</v>
      </c>
      <c r="H25" s="17" t="s">
        <v>76</v>
      </c>
      <c r="J25" s="65"/>
      <c r="K25" s="12"/>
    </row>
    <row r="26" spans="1:11" x14ac:dyDescent="0.25">
      <c r="A26" s="15" t="s">
        <v>186</v>
      </c>
      <c r="B26" s="19" t="s">
        <v>250</v>
      </c>
      <c r="G26" s="11" t="s">
        <v>77</v>
      </c>
      <c r="H26" s="17" t="s">
        <v>78</v>
      </c>
      <c r="J26" s="186" t="s">
        <v>225</v>
      </c>
      <c r="K26" s="188"/>
    </row>
    <row r="27" spans="1:11" x14ac:dyDescent="0.25">
      <c r="G27" s="11" t="s">
        <v>79</v>
      </c>
      <c r="H27" s="17" t="s">
        <v>80</v>
      </c>
      <c r="J27" s="21" t="s">
        <v>112</v>
      </c>
      <c r="K27" s="22" t="s">
        <v>105</v>
      </c>
    </row>
    <row r="28" spans="1:11" ht="15.75" thickBot="1" x14ac:dyDescent="0.3">
      <c r="G28" s="11" t="s">
        <v>81</v>
      </c>
      <c r="H28" s="17" t="s">
        <v>82</v>
      </c>
    </row>
    <row r="29" spans="1:11" ht="15.75" thickBot="1" x14ac:dyDescent="0.3">
      <c r="G29" s="11" t="s">
        <v>83</v>
      </c>
      <c r="H29" s="17" t="s">
        <v>84</v>
      </c>
      <c r="J29" s="204" t="s">
        <v>253</v>
      </c>
      <c r="K29" s="205"/>
    </row>
    <row r="30" spans="1:11" x14ac:dyDescent="0.25">
      <c r="G30" s="11" t="s">
        <v>85</v>
      </c>
      <c r="H30" s="17" t="s">
        <v>86</v>
      </c>
      <c r="J30" s="209" t="s">
        <v>226</v>
      </c>
      <c r="K30" s="210"/>
    </row>
    <row r="31" spans="1:11" x14ac:dyDescent="0.25">
      <c r="G31" s="11" t="s">
        <v>116</v>
      </c>
      <c r="H31" s="17" t="s">
        <v>117</v>
      </c>
      <c r="J31" s="66" t="s">
        <v>166</v>
      </c>
      <c r="K31" s="20" t="s">
        <v>254</v>
      </c>
    </row>
    <row r="32" spans="1:11" x14ac:dyDescent="0.25">
      <c r="G32" s="11" t="s">
        <v>87</v>
      </c>
      <c r="H32" s="17" t="s">
        <v>88</v>
      </c>
      <c r="J32" s="67" t="s">
        <v>167</v>
      </c>
      <c r="K32" s="12" t="s">
        <v>169</v>
      </c>
    </row>
    <row r="33" spans="7:11" x14ac:dyDescent="0.25">
      <c r="G33" s="11" t="s">
        <v>89</v>
      </c>
      <c r="H33" s="17" t="s">
        <v>90</v>
      </c>
      <c r="J33" s="67" t="s">
        <v>168</v>
      </c>
      <c r="K33" s="17" t="s">
        <v>255</v>
      </c>
    </row>
    <row r="34" spans="7:11" x14ac:dyDescent="0.25">
      <c r="G34" s="11" t="s">
        <v>91</v>
      </c>
      <c r="H34" s="17" t="s">
        <v>92</v>
      </c>
      <c r="J34" s="67" t="s">
        <v>167</v>
      </c>
      <c r="K34" s="12" t="s">
        <v>170</v>
      </c>
    </row>
    <row r="35" spans="7:11" x14ac:dyDescent="0.25">
      <c r="G35" s="11" t="s">
        <v>93</v>
      </c>
      <c r="H35" s="17" t="s">
        <v>94</v>
      </c>
      <c r="J35" s="67" t="s">
        <v>168</v>
      </c>
      <c r="K35" s="17" t="s">
        <v>256</v>
      </c>
    </row>
    <row r="36" spans="7:11" x14ac:dyDescent="0.25">
      <c r="G36" s="11" t="s">
        <v>95</v>
      </c>
      <c r="H36" s="17" t="s">
        <v>96</v>
      </c>
      <c r="J36" s="67" t="s">
        <v>167</v>
      </c>
      <c r="K36" s="12" t="s">
        <v>171</v>
      </c>
    </row>
    <row r="37" spans="7:11" x14ac:dyDescent="0.25">
      <c r="G37" s="11" t="s">
        <v>97</v>
      </c>
      <c r="H37" s="17" t="s">
        <v>98</v>
      </c>
      <c r="J37" s="67" t="s">
        <v>168</v>
      </c>
      <c r="K37" s="17" t="s">
        <v>257</v>
      </c>
    </row>
    <row r="38" spans="7:11" ht="15.75" thickBot="1" x14ac:dyDescent="0.3">
      <c r="G38" s="11" t="s">
        <v>49</v>
      </c>
      <c r="H38" s="17" t="s">
        <v>131</v>
      </c>
      <c r="J38" s="83"/>
      <c r="K38" s="84"/>
    </row>
    <row r="39" spans="7:11" x14ac:dyDescent="0.25">
      <c r="G39" s="11" t="s">
        <v>50</v>
      </c>
      <c r="H39" s="17" t="s">
        <v>113</v>
      </c>
      <c r="J39" s="209" t="s">
        <v>227</v>
      </c>
      <c r="K39" s="210"/>
    </row>
    <row r="40" spans="7:11" x14ac:dyDescent="0.25">
      <c r="G40" s="11" t="s">
        <v>51</v>
      </c>
      <c r="H40" s="17" t="s">
        <v>57</v>
      </c>
      <c r="J40" s="66" t="s">
        <v>166</v>
      </c>
      <c r="K40" s="20" t="s">
        <v>254</v>
      </c>
    </row>
    <row r="41" spans="7:11" x14ac:dyDescent="0.25">
      <c r="G41" s="11" t="s">
        <v>52</v>
      </c>
      <c r="H41" s="17" t="s">
        <v>114</v>
      </c>
      <c r="J41" s="67" t="s">
        <v>167</v>
      </c>
      <c r="K41" s="12" t="s">
        <v>169</v>
      </c>
    </row>
    <row r="42" spans="7:11" x14ac:dyDescent="0.25">
      <c r="G42" s="11" t="s">
        <v>53</v>
      </c>
      <c r="H42" s="17" t="s">
        <v>59</v>
      </c>
      <c r="J42" s="67" t="s">
        <v>168</v>
      </c>
      <c r="K42" s="17" t="s">
        <v>258</v>
      </c>
    </row>
    <row r="43" spans="7:11" x14ac:dyDescent="0.25">
      <c r="G43" s="11" t="s">
        <v>54</v>
      </c>
      <c r="H43" s="17" t="s">
        <v>115</v>
      </c>
      <c r="J43" s="67" t="s">
        <v>167</v>
      </c>
      <c r="K43" s="12" t="s">
        <v>170</v>
      </c>
    </row>
    <row r="44" spans="7:11" x14ac:dyDescent="0.25">
      <c r="G44" s="21" t="s">
        <v>55</v>
      </c>
      <c r="H44" s="19" t="s">
        <v>61</v>
      </c>
      <c r="J44" s="67" t="s">
        <v>168</v>
      </c>
      <c r="K44" s="17" t="s">
        <v>259</v>
      </c>
    </row>
    <row r="45" spans="7:11" ht="15.75" thickBot="1" x14ac:dyDescent="0.3">
      <c r="J45" s="67" t="s">
        <v>167</v>
      </c>
      <c r="K45" s="12" t="s">
        <v>171</v>
      </c>
    </row>
    <row r="46" spans="7:11" x14ac:dyDescent="0.25">
      <c r="G46" s="202" t="s">
        <v>235</v>
      </c>
      <c r="H46" s="203"/>
      <c r="J46" s="21" t="s">
        <v>168</v>
      </c>
      <c r="K46" s="19" t="s">
        <v>260</v>
      </c>
    </row>
    <row r="47" spans="7:11" x14ac:dyDescent="0.25">
      <c r="G47" s="66" t="s">
        <v>236</v>
      </c>
      <c r="H47" s="23" t="s">
        <v>179</v>
      </c>
      <c r="J47" s="85"/>
      <c r="K47" s="85"/>
    </row>
    <row r="48" spans="7:11" x14ac:dyDescent="0.25">
      <c r="G48" s="67" t="s">
        <v>237</v>
      </c>
      <c r="H48" s="78" t="s">
        <v>176</v>
      </c>
      <c r="J48" s="13" t="s">
        <v>172</v>
      </c>
      <c r="K48" s="23"/>
    </row>
    <row r="49" spans="7:11" x14ac:dyDescent="0.25">
      <c r="G49" s="67" t="s">
        <v>238</v>
      </c>
      <c r="H49" s="78" t="s">
        <v>177</v>
      </c>
      <c r="J49" s="87" t="s">
        <v>261</v>
      </c>
      <c r="K49" s="12"/>
    </row>
    <row r="50" spans="7:11" x14ac:dyDescent="0.25">
      <c r="G50" s="67" t="s">
        <v>239</v>
      </c>
      <c r="H50" s="78" t="s">
        <v>178</v>
      </c>
      <c r="J50" s="14" t="s">
        <v>173</v>
      </c>
      <c r="K50" s="12"/>
    </row>
    <row r="51" spans="7:11" x14ac:dyDescent="0.25">
      <c r="G51" s="67" t="s">
        <v>240</v>
      </c>
      <c r="H51" s="79" t="s">
        <v>229</v>
      </c>
      <c r="J51" s="86" t="s">
        <v>262</v>
      </c>
      <c r="K51" s="22"/>
    </row>
    <row r="52" spans="7:11" ht="15.75" thickBot="1" x14ac:dyDescent="0.3">
      <c r="G52" s="67" t="s">
        <v>241</v>
      </c>
      <c r="H52" s="80" t="s">
        <v>230</v>
      </c>
    </row>
    <row r="53" spans="7:11" ht="15.75" thickBot="1" x14ac:dyDescent="0.3">
      <c r="G53" s="67" t="s">
        <v>242</v>
      </c>
      <c r="H53" s="80" t="s">
        <v>219</v>
      </c>
      <c r="J53" s="204" t="s">
        <v>277</v>
      </c>
      <c r="K53" s="205"/>
    </row>
    <row r="54" spans="7:11" x14ac:dyDescent="0.25">
      <c r="G54" s="67" t="s">
        <v>243</v>
      </c>
      <c r="H54" s="80" t="s">
        <v>228</v>
      </c>
      <c r="J54" s="206" t="s">
        <v>272</v>
      </c>
      <c r="K54" s="207"/>
    </row>
    <row r="55" spans="7:11" x14ac:dyDescent="0.25">
      <c r="G55" s="81" t="s">
        <v>244</v>
      </c>
      <c r="H55" s="79" t="s">
        <v>231</v>
      </c>
      <c r="J55" s="68" t="s">
        <v>166</v>
      </c>
      <c r="K55" s="63" t="s">
        <v>104</v>
      </c>
    </row>
    <row r="56" spans="7:11" x14ac:dyDescent="0.25">
      <c r="G56" s="81" t="s">
        <v>245</v>
      </c>
      <c r="H56" s="80" t="s">
        <v>232</v>
      </c>
      <c r="J56" s="69" t="s">
        <v>273</v>
      </c>
      <c r="K56" s="38" t="s">
        <v>276</v>
      </c>
    </row>
    <row r="57" spans="7:11" x14ac:dyDescent="0.25">
      <c r="G57" s="81" t="s">
        <v>246</v>
      </c>
      <c r="H57" s="80" t="s">
        <v>233</v>
      </c>
      <c r="J57" s="71" t="s">
        <v>274</v>
      </c>
      <c r="K57" s="72" t="s">
        <v>275</v>
      </c>
    </row>
    <row r="58" spans="7:11" x14ac:dyDescent="0.25">
      <c r="G58" s="76" t="s">
        <v>247</v>
      </c>
      <c r="H58" s="82" t="s">
        <v>234</v>
      </c>
    </row>
    <row r="59" spans="7:11" ht="15.75" thickBot="1" x14ac:dyDescent="0.3"/>
    <row r="60" spans="7:11" x14ac:dyDescent="0.25">
      <c r="G60" s="202" t="s">
        <v>264</v>
      </c>
      <c r="H60" s="203"/>
    </row>
    <row r="61" spans="7:11" x14ac:dyDescent="0.25">
      <c r="G61" s="68" t="s">
        <v>265</v>
      </c>
      <c r="H61" s="63" t="s">
        <v>268</v>
      </c>
    </row>
    <row r="62" spans="7:11" x14ac:dyDescent="0.25">
      <c r="G62" s="69" t="s">
        <v>266</v>
      </c>
      <c r="H62" s="70" t="s">
        <v>269</v>
      </c>
    </row>
    <row r="63" spans="7:11" x14ac:dyDescent="0.25">
      <c r="G63" s="71" t="s">
        <v>267</v>
      </c>
      <c r="H63" s="72" t="s">
        <v>270</v>
      </c>
    </row>
  </sheetData>
  <mergeCells count="25">
    <mergeCell ref="D22:E22"/>
    <mergeCell ref="J14:K14"/>
    <mergeCell ref="G46:H46"/>
    <mergeCell ref="J8:K8"/>
    <mergeCell ref="J4:K4"/>
    <mergeCell ref="J5:K5"/>
    <mergeCell ref="J6:K6"/>
    <mergeCell ref="J7:K7"/>
    <mergeCell ref="A3:B3"/>
    <mergeCell ref="G3:H3"/>
    <mergeCell ref="G4:H4"/>
    <mergeCell ref="G15:H15"/>
    <mergeCell ref="D3:E4"/>
    <mergeCell ref="D5:E5"/>
    <mergeCell ref="G60:H60"/>
    <mergeCell ref="J53:K53"/>
    <mergeCell ref="J54:K54"/>
    <mergeCell ref="J3:K3"/>
    <mergeCell ref="J29:K29"/>
    <mergeCell ref="J30:K30"/>
    <mergeCell ref="J39:K39"/>
    <mergeCell ref="J15:K15"/>
    <mergeCell ref="J16:K16"/>
    <mergeCell ref="J21:K21"/>
    <mergeCell ref="J26:K26"/>
  </mergeCells>
  <printOptions headings="1"/>
  <pageMargins left="0.25" right="0.25" top="0.75" bottom="0.75" header="0.3" footer="0.3"/>
  <pageSetup paperSize="5" scale="52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TDB</vt:lpstr>
      <vt:lpstr>Graphs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2014-09-28T18:39:24Z</cp:lastPrinted>
  <dcterms:created xsi:type="dcterms:W3CDTF">2013-08-30T17:45:59Z</dcterms:created>
  <dcterms:modified xsi:type="dcterms:W3CDTF">2014-10-13T19:08:11Z</dcterms:modified>
</cp:coreProperties>
</file>