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TDB\ExercicesTDB\Chapitre-7\"/>
    </mc:Choice>
  </mc:AlternateContent>
  <bookViews>
    <workbookView xWindow="0" yWindow="0" windowWidth="19140" windowHeight="11205"/>
  </bookViews>
  <sheets>
    <sheet name="TDB" sheetId="8" r:id="rId1"/>
    <sheet name="Graphs" sheetId="7" r:id="rId2"/>
    <sheet name="Dates" sheetId="9" r:id="rId3"/>
    <sheet name="Sommaire" sheetId="4" r:id="rId4"/>
    <sheet name="AnneeEnCours" sheetId="2" r:id="rId5"/>
    <sheet name="AnneePrecedente" sheetId="1" r:id="rId6"/>
    <sheet name="Paramètres" sheetId="5" r:id="rId7"/>
  </sheets>
  <definedNames>
    <definedName name="C_ChoixGraph">TDB!$P$2</definedName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GraphAdresses">Graphs!$V$1:$X$4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I_Graph1">INDIRECT(VLOOKUP(C_ChoixGraph,D_GraphAdresses,2,FALSE))</definedName>
    <definedName name="I_Graph2">INDIRECT(VLOOKUP(C_ChoixGraph,D_GraphAdresses,3,FALSE))</definedName>
    <definedName name="L_Dept">AnneeEnCours!$A$5:$A$7</definedName>
    <definedName name="L_MoisCum">OFFSET(AnneeEnCours!$B$4,,,,COUNT(AnneeEnCours!$B$5:$M$5))</definedName>
    <definedName name="L_TypeGraphs">Graphs!$V$1:$V$4</definedName>
    <definedName name="_xlnm.Print_Area" localSheetId="0">TDB!$A$1:$U$31</definedName>
  </definedNames>
  <calcPr calcId="152511"/>
</workbook>
</file>

<file path=xl/calcChain.xml><?xml version="1.0" encoding="utf-8"?>
<calcChain xmlns="http://schemas.openxmlformats.org/spreadsheetml/2006/main">
  <c r="L21" i="9" l="1"/>
  <c r="K21" i="9"/>
  <c r="J21" i="9"/>
  <c r="L12" i="9" l="1"/>
  <c r="K12" i="9"/>
  <c r="J12" i="9"/>
  <c r="L27" i="9" l="1"/>
  <c r="J27" i="9"/>
  <c r="L16" i="9"/>
  <c r="L18" i="9" s="1"/>
  <c r="L24" i="9" s="1"/>
  <c r="J16" i="9"/>
  <c r="J18" i="9" s="1"/>
  <c r="J24" i="9" s="1"/>
  <c r="J30" i="9" l="1"/>
  <c r="L30" i="9"/>
  <c r="K27" i="9"/>
  <c r="K30" i="9" s="1"/>
  <c r="K16" i="9"/>
  <c r="K18" i="9" s="1"/>
  <c r="K24" i="9" s="1"/>
  <c r="D29" i="7"/>
  <c r="D30" i="7" s="1"/>
  <c r="E29" i="7"/>
  <c r="E30" i="7" s="1"/>
  <c r="C29" i="7"/>
  <c r="C30" i="7" s="1"/>
  <c r="E28" i="7"/>
  <c r="D28" i="7"/>
  <c r="C28" i="7"/>
  <c r="E27" i="7"/>
  <c r="D27" i="7"/>
  <c r="C27" i="7"/>
  <c r="L33" i="9" l="1"/>
  <c r="K33" i="9"/>
  <c r="J33" i="9"/>
  <c r="J24" i="8"/>
  <c r="K24" i="8"/>
  <c r="J26" i="8"/>
  <c r="K26" i="8"/>
  <c r="J28" i="8"/>
  <c r="K28" i="8"/>
  <c r="I28" i="8"/>
  <c r="I26" i="8"/>
  <c r="I24" i="8"/>
  <c r="J17" i="8"/>
  <c r="J15" i="8"/>
  <c r="J13" i="8"/>
  <c r="I17" i="8"/>
  <c r="I15" i="8"/>
  <c r="I13" i="8"/>
  <c r="K15" i="8" l="1"/>
  <c r="K17" i="8"/>
  <c r="K13" i="8"/>
  <c r="K23" i="8" l="1"/>
  <c r="K12" i="8"/>
  <c r="J6" i="8"/>
  <c r="M23" i="1"/>
  <c r="L23" i="1"/>
  <c r="K23" i="1"/>
  <c r="J23" i="1"/>
  <c r="I23" i="1"/>
  <c r="H23" i="1"/>
  <c r="G23" i="1"/>
  <c r="F23" i="1"/>
  <c r="E23" i="1"/>
  <c r="D23" i="1"/>
  <c r="C23" i="1"/>
  <c r="B23" i="1"/>
  <c r="N23" i="1" s="1"/>
  <c r="M22" i="1"/>
  <c r="M24" i="1" s="1"/>
  <c r="L22" i="1"/>
  <c r="L25" i="1" s="1"/>
  <c r="K22" i="1"/>
  <c r="K24" i="1" s="1"/>
  <c r="J22" i="1"/>
  <c r="J25" i="1" s="1"/>
  <c r="I22" i="1"/>
  <c r="I24" i="1" s="1"/>
  <c r="H22" i="1"/>
  <c r="H25" i="1" s="1"/>
  <c r="G22" i="1"/>
  <c r="G24" i="1" s="1"/>
  <c r="F22" i="1"/>
  <c r="F25" i="1" s="1"/>
  <c r="E22" i="1"/>
  <c r="E24" i="1" s="1"/>
  <c r="D22" i="1"/>
  <c r="D25" i="1" s="1"/>
  <c r="C22" i="1"/>
  <c r="C24" i="1" s="1"/>
  <c r="B22" i="1"/>
  <c r="B25" i="1" s="1"/>
  <c r="M23" i="2"/>
  <c r="L23" i="2"/>
  <c r="L25" i="2" s="1"/>
  <c r="K23" i="2"/>
  <c r="J23" i="2"/>
  <c r="J25" i="2" s="1"/>
  <c r="I23" i="2"/>
  <c r="H23" i="2"/>
  <c r="H25" i="2" s="1"/>
  <c r="G23" i="2"/>
  <c r="F23" i="2"/>
  <c r="E23" i="2"/>
  <c r="D23" i="2"/>
  <c r="C23" i="2"/>
  <c r="B23" i="2"/>
  <c r="M22" i="2"/>
  <c r="M25" i="2" s="1"/>
  <c r="L22" i="2"/>
  <c r="L24" i="2" s="1"/>
  <c r="K22" i="2"/>
  <c r="K25" i="2" s="1"/>
  <c r="J22" i="2"/>
  <c r="J24" i="2" s="1"/>
  <c r="I22" i="2"/>
  <c r="I25" i="2" s="1"/>
  <c r="H22" i="2"/>
  <c r="H24" i="2" s="1"/>
  <c r="G22" i="2"/>
  <c r="G25" i="2" s="1"/>
  <c r="F22" i="2"/>
  <c r="F24" i="2" s="1"/>
  <c r="E22" i="2"/>
  <c r="E25" i="2" s="1"/>
  <c r="D22" i="2"/>
  <c r="D24" i="2" s="1"/>
  <c r="C22" i="2"/>
  <c r="C25" i="2" s="1"/>
  <c r="B22" i="2"/>
  <c r="B24" i="2" s="1"/>
  <c r="N16" i="2"/>
  <c r="N15" i="2"/>
  <c r="N14" i="2"/>
  <c r="F29" i="4"/>
  <c r="J28" i="4"/>
  <c r="J29" i="4" s="1"/>
  <c r="F28" i="4"/>
  <c r="B28" i="4"/>
  <c r="B29" i="4" s="1"/>
  <c r="N22" i="1" l="1"/>
  <c r="B24" i="1"/>
  <c r="D24" i="1"/>
  <c r="F24" i="1"/>
  <c r="H24" i="1"/>
  <c r="J24" i="1"/>
  <c r="L24" i="1"/>
  <c r="C25" i="1"/>
  <c r="E25" i="1"/>
  <c r="G25" i="1"/>
  <c r="I25" i="1"/>
  <c r="K25" i="1"/>
  <c r="M25" i="1"/>
  <c r="B25" i="2"/>
  <c r="D25" i="2"/>
  <c r="F25" i="2"/>
  <c r="N23" i="2"/>
  <c r="C24" i="2"/>
  <c r="E24" i="2"/>
  <c r="G24" i="2"/>
  <c r="I24" i="2"/>
  <c r="K24" i="2"/>
  <c r="M24" i="2"/>
  <c r="N22" i="2"/>
  <c r="N25" i="1" l="1"/>
  <c r="N24" i="1"/>
  <c r="N24" i="2"/>
  <c r="N25" i="2"/>
  <c r="H6" i="8" s="1"/>
  <c r="N5" i="2" l="1"/>
  <c r="N6" i="2"/>
  <c r="N7" i="2"/>
  <c r="D7" i="8" l="1"/>
  <c r="C7" i="8"/>
  <c r="D8" i="8"/>
  <c r="C8" i="8"/>
  <c r="D6" i="8"/>
  <c r="C6" i="8"/>
  <c r="E8" i="8" l="1"/>
  <c r="E7" i="8"/>
  <c r="E6" i="8"/>
  <c r="I16" i="4" l="1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G24" i="4"/>
  <c r="J26" i="4"/>
  <c r="I26" i="4"/>
  <c r="F26" i="4"/>
  <c r="E26" i="4"/>
  <c r="B26" i="4"/>
  <c r="A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C21" i="4" l="1"/>
  <c r="G21" i="4"/>
  <c r="K21" i="4"/>
  <c r="C26" i="4"/>
  <c r="G26" i="4"/>
  <c r="K26" i="4"/>
</calcChain>
</file>

<file path=xl/sharedStrings.xml><?xml version="1.0" encoding="utf-8"?>
<sst xmlns="http://schemas.openxmlformats.org/spreadsheetml/2006/main" count="535" uniqueCount="320">
  <si>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</si>
  <si>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</si>
  <si>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</si>
  <si>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</si>
  <si>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</si>
  <si>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</si>
  <si>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</si>
  <si>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</si>
  <si>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</si>
  <si>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</si>
  <si>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</si>
  <si>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</si>
  <si>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</si>
  <si>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</si>
  <si>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</si>
  <si>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</si>
  <si>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</si>
  <si>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</si>
  <si>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</si>
  <si>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</si>
  <si>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</si>
  <si>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</si>
  <si>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</si>
  <si>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</si>
  <si>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</si>
  <si>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</si>
  <si>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</si>
  <si>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</si>
  <si>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</si>
  <si>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</si>
  <si>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</si>
  <si>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</si>
  <si>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</si>
  <si>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</si>
  <si>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</si>
  <si>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</si>
  <si>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</si>
  <si>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</si>
  <si>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</si>
  <si>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</si>
  <si>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</si>
  <si>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</si>
  <si>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</si>
  <si>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</si>
  <si>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</si>
  <si>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</si>
  <si>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</si>
  <si>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</si>
  <si>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</si>
  <si>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</si>
  <si>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</si>
  <si>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</si>
  <si>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</si>
  <si>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</si>
  <si>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</si>
  <si>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</si>
  <si>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</si>
  <si>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</si>
  <si>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</si>
  <si>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</si>
  <si>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</si>
  <si>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</si>
  <si>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</si>
  <si>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</si>
  <si>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</si>
  <si>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</si>
  <si>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</si>
  <si>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</si>
  <si>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</si>
  <si>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</si>
  <si>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</si>
  <si>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</si>
  <si>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</si>
  <si>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</si>
  <si>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</si>
  <si>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</si>
  <si>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</si>
  <si>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</si>
  <si>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</si>
  <si>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</si>
  <si>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</si>
  <si>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</si>
  <si>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</si>
  <si>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</si>
  <si>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</si>
  <si>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</si>
  <si>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</si>
  <si>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</si>
  <si>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</si>
  <si>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</si>
  <si>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</si>
  <si>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</si>
  <si>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</si>
  <si>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</si>
  <si>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</si>
  <si>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</si>
  <si>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</si>
  <si>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</si>
  <si>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</si>
  <si>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</si>
  <si>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</si>
  <si>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</si>
  <si>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</si>
  <si>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</si>
  <si>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</si>
  <si>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</si>
  <si>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</si>
  <si>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</si>
  <si>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</si>
  <si>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</si>
  <si>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</si>
  <si>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</si>
  <si>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</si>
  <si>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</si>
  <si>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</si>
  <si>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</si>
  <si>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</si>
  <si>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</si>
  <si>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</si>
  <si>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</si>
  <si>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</si>
  <si>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</si>
  <si>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</si>
  <si>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</si>
  <si>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</si>
  <si>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</si>
  <si>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</si>
  <si>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</si>
  <si>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</si>
  <si>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</si>
  <si>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</si>
  <si>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</si>
  <si>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</si>
  <si>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</si>
  <si>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</si>
  <si>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</si>
  <si>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</si>
  <si>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</si>
  <si>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</si>
  <si>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</si>
  <si>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</si>
  <si>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</si>
  <si>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</si>
  <si>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</si>
  <si>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</si>
  <si>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</si>
  <si>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</si>
  <si>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</si>
  <si>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</si>
  <si>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</si>
  <si>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</si>
  <si>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</si>
  <si>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</si>
  <si>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</si>
  <si>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</si>
  <si>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</si>
  <si>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</si>
  <si>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</si>
  <si>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</si>
  <si>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</si>
  <si>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</si>
  <si>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</si>
  <si>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</si>
  <si>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</si>
  <si>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</si>
  <si>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</si>
  <si>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t>Étiquettes</t>
  </si>
  <si>
    <t>Nom de la série</t>
  </si>
  <si>
    <t>Valeur de la série</t>
  </si>
  <si>
    <t>Dept1</t>
  </si>
  <si>
    <t>Dept2</t>
  </si>
  <si>
    <t>Dept3</t>
  </si>
  <si>
    <t xml:space="preserve">La feuille Graphs! Est remplacé par le nom du fichier soit : </t>
  </si>
  <si>
    <t>Les valeurs des séries devraient ressemblés à ceci :</t>
  </si>
  <si>
    <t>Année</t>
  </si>
  <si>
    <t>Précédente</t>
  </si>
  <si>
    <t>Courbe</t>
  </si>
  <si>
    <t>Histogramme</t>
  </si>
  <si>
    <t>Histogramme empilé</t>
  </si>
  <si>
    <t>Barre</t>
  </si>
  <si>
    <t>C_ChoixGraph</t>
  </si>
  <si>
    <t>D_GraphAdresses</t>
  </si>
  <si>
    <t>I_Graph1</t>
  </si>
  <si>
    <t>=INDIRECT(RECHERCHEV(C_ChoixGraph;D_GraphAdresses;2;FAUX))</t>
  </si>
  <si>
    <t>I_Graph2</t>
  </si>
  <si>
    <t>=INDIRECT(RECHERCHEV(C_ChoixGraph;D_GraphAdresses;3;FAUX))</t>
  </si>
  <si>
    <t>L_TypeGraphs</t>
  </si>
  <si>
    <t>Graphiques et liaisons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</si>
  <si>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</si>
  <si>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</si>
  <si>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</si>
  <si>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</si>
  <si>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</si>
  <si>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</si>
  <si>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</si>
  <si>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</si>
  <si>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</si>
  <si>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</si>
  <si>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</si>
  <si>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</si>
  <si>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</si>
  <si>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</si>
  <si>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</si>
  <si>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</si>
  <si>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</si>
  <si>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</si>
  <si>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</si>
  <si>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</si>
  <si>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</si>
  <si>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</si>
  <si>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</si>
  <si>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</si>
  <si>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Atteinte de l'objectif Année en cours</t>
  </si>
  <si>
    <t>Totaux des départements</t>
  </si>
  <si>
    <t>Atteinte prévisionnelle d'objectifs (date)</t>
  </si>
  <si>
    <t>=TDB!$P$2</t>
  </si>
  <si>
    <t>Graphs!$A$3:$D$11</t>
  </si>
  <si>
    <t>Cellules : A3, F3, K3 et P3</t>
  </si>
  <si>
    <t xml:space="preserve">Cellules : A15, F15, K15 et P15 </t>
  </si>
  <si>
    <t xml:space="preserve">Cellules : A3, F3, K3 et P3et A15, F15, K15 et P15 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</si>
  <si>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</si>
  <si>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</si>
  <si>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</si>
  <si>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</si>
  <si>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t>Graphiques situés à : A15, F15, K15 et P15</t>
  </si>
  <si>
    <t>Graphs!$F$3:$I$11</t>
  </si>
  <si>
    <t>Graphs!$K$3:$N$11</t>
  </si>
  <si>
    <t>Graphs!$P$3:$S$11</t>
  </si>
  <si>
    <t>Graphs!$K$15:$N$23</t>
  </si>
  <si>
    <t>Graphs!$P$15:$S$23</t>
  </si>
  <si>
    <t>Graphs!$A$15:$D$23</t>
  </si>
  <si>
    <t>Graphs!$F$15:$I$23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</si>
  <si>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</si>
  <si>
    <t>V1</t>
  </si>
  <si>
    <t>V2</t>
  </si>
  <si>
    <t>V3</t>
  </si>
  <si>
    <t>V4</t>
  </si>
  <si>
    <t>W1</t>
  </si>
  <si>
    <t>W2</t>
  </si>
  <si>
    <t>W3</t>
  </si>
  <si>
    <t>W4</t>
  </si>
  <si>
    <t>X1</t>
  </si>
  <si>
    <t>X2</t>
  </si>
  <si>
    <t>X3</t>
  </si>
  <si>
    <t>X4</t>
  </si>
  <si>
    <t>P2</t>
  </si>
  <si>
    <t>Liste déroulante lié au nom :  =L_TypeGraphs</t>
  </si>
  <si>
    <t>=Graphs!$V$1:$V$4</t>
  </si>
  <si>
    <t>=Graphs!$V$1:$X$4</t>
  </si>
  <si>
    <t>Feuille : TDB</t>
  </si>
  <si>
    <r>
      <rPr>
        <sz val="11"/>
        <color theme="1"/>
        <rFont val="Calibri"/>
        <family val="2"/>
        <scheme val="minor"/>
      </rPr>
      <t>Feuille</t>
    </r>
    <r>
      <rPr>
        <b/>
        <sz val="11"/>
        <color theme="1"/>
        <rFont val="Calibri"/>
        <family val="2"/>
        <scheme val="minor"/>
      </rPr>
      <t xml:space="preserve"> : Graphs (Données du graphique)</t>
    </r>
  </si>
  <si>
    <r>
      <t>=Graphs!</t>
    </r>
    <r>
      <rPr>
        <i/>
        <sz val="11"/>
        <color indexed="8"/>
        <rFont val="Calibri"/>
        <family val="2"/>
      </rPr>
      <t>L_MoisCum</t>
    </r>
  </si>
  <si>
    <r>
      <t>=Graphs!</t>
    </r>
    <r>
      <rPr>
        <i/>
        <sz val="11"/>
        <color indexed="8"/>
        <rFont val="Calibri"/>
        <family val="2"/>
      </rPr>
      <t>Dept1AnCum</t>
    </r>
  </si>
  <si>
    <r>
      <t>=Graphs!</t>
    </r>
    <r>
      <rPr>
        <i/>
        <sz val="11"/>
        <color indexed="8"/>
        <rFont val="Calibri"/>
        <family val="2"/>
      </rPr>
      <t>Dept2AnCum</t>
    </r>
  </si>
  <si>
    <r>
      <t>=Graphs!</t>
    </r>
    <r>
      <rPr>
        <i/>
        <sz val="11"/>
        <color indexed="8"/>
        <rFont val="Calibri"/>
        <family val="2"/>
      </rPr>
      <t>Dept3AnCum</t>
    </r>
  </si>
  <si>
    <r>
      <t>=Graphs!!</t>
    </r>
    <r>
      <rPr>
        <i/>
        <sz val="11"/>
        <color indexed="8"/>
        <rFont val="Calibri"/>
        <family val="2"/>
      </rPr>
      <t>Dept1AnPCum</t>
    </r>
  </si>
  <si>
    <r>
      <t>=Graphs!</t>
    </r>
    <r>
      <rPr>
        <i/>
        <sz val="11"/>
        <color indexed="8"/>
        <rFont val="Calibri"/>
        <family val="2"/>
      </rPr>
      <t>Dept2AnPCum</t>
    </r>
  </si>
  <si>
    <r>
      <t>=Graphs!</t>
    </r>
    <r>
      <rPr>
        <i/>
        <sz val="11"/>
        <color indexed="8"/>
        <rFont val="Calibri"/>
        <family val="2"/>
      </rPr>
      <t>Dept3AnPCum</t>
    </r>
  </si>
  <si>
    <t>='5-002-Graphique interactif en utilisant une Image-Finale.xlsx'!</t>
  </si>
  <si>
    <t>='5-002-Graphique interactif en utilisant une Image-Finale.xlsx'!Dept1AnCum</t>
  </si>
  <si>
    <t>Total</t>
  </si>
  <si>
    <r>
      <t xml:space="preserve">Feuille : </t>
    </r>
    <r>
      <rPr>
        <b/>
        <sz val="11"/>
        <color theme="1"/>
        <rFont val="Calibri"/>
        <family val="2"/>
        <scheme val="minor"/>
      </rPr>
      <t>AnneeEnCours</t>
    </r>
  </si>
  <si>
    <t>N5</t>
  </si>
  <si>
    <t>N6</t>
  </si>
  <si>
    <t>N7</t>
  </si>
  <si>
    <t>=SOMME(B5:M5)</t>
  </si>
  <si>
    <t>=SOMME(B6:M6)</t>
  </si>
  <si>
    <t>=SOMME(B7:M7)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</si>
  <si>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</t>
    </r>
  </si>
  <si>
    <t>Graphique situé à : P19 (jusqu'à S28 approximatif)</t>
  </si>
  <si>
    <t>Séries :</t>
  </si>
  <si>
    <t>Présélection de la plage</t>
  </si>
  <si>
    <t>AnneeEnCours de A4 à N7</t>
  </si>
  <si>
    <t>Au nombre de 13; B4 à N4</t>
  </si>
  <si>
    <t>Informations interactives</t>
  </si>
  <si>
    <t>Marge d'exploitation An vs Précédente</t>
  </si>
  <si>
    <t>Objectif mensuel:</t>
  </si>
  <si>
    <t>Objectif mois cum:</t>
  </si>
  <si>
    <t>TOTAL</t>
  </si>
  <si>
    <t>Revenus</t>
  </si>
  <si>
    <t>Dépenses</t>
  </si>
  <si>
    <t>Profit</t>
  </si>
  <si>
    <t>Écart</t>
  </si>
  <si>
    <r>
      <t xml:space="preserve">Revenus de </t>
    </r>
    <r>
      <rPr>
        <b/>
        <sz val="14"/>
        <color rgb="FF002060"/>
        <rFont val="Calibri"/>
        <family val="2"/>
      </rPr>
      <t xml:space="preserve">Mon Entreprise inc. </t>
    </r>
    <r>
      <rPr>
        <sz val="14"/>
        <color rgb="FF002060"/>
        <rFont val="Calibri"/>
        <family val="2"/>
      </rPr>
      <t>pour l'année précédente</t>
    </r>
  </si>
  <si>
    <r>
      <t xml:space="preserve">Dépenses de </t>
    </r>
    <r>
      <rPr>
        <b/>
        <sz val="14"/>
        <color rgb="FFFF0000"/>
        <rFont val="Calibri"/>
        <family val="2"/>
      </rPr>
      <t xml:space="preserve">Mon Entreprise inc. </t>
    </r>
    <r>
      <rPr>
        <sz val="14"/>
        <color rgb="FFFF0000"/>
        <rFont val="Calibri"/>
        <family val="2"/>
      </rPr>
      <t>pour l'année précédente</t>
    </r>
  </si>
  <si>
    <r>
      <t xml:space="preserve">Ratio de </t>
    </r>
    <r>
      <rPr>
        <b/>
        <sz val="14"/>
        <color rgb="FF00B050"/>
        <rFont val="Calibri"/>
        <family val="2"/>
      </rPr>
      <t>Mon Entreprise inc.</t>
    </r>
    <r>
      <rPr>
        <sz val="14"/>
        <color rgb="FF00B050"/>
        <rFont val="Calibri"/>
        <family val="2"/>
      </rPr>
      <t xml:space="preserve"> pour l'année précédente</t>
    </r>
  </si>
  <si>
    <t>Revenus cum  Vs l'an passé</t>
  </si>
  <si>
    <t>Objectifs annuel</t>
  </si>
  <si>
    <t>Cum. Actuel</t>
  </si>
  <si>
    <t>Diff 100%</t>
  </si>
  <si>
    <t>Mois de :</t>
  </si>
  <si>
    <t xml:space="preserve">Cumulatif Janvier à </t>
  </si>
  <si>
    <t>Total du :</t>
  </si>
  <si>
    <r>
      <rPr>
        <sz val="11"/>
        <color theme="1"/>
        <rFont val="Calibri"/>
        <family val="2"/>
        <scheme val="minor"/>
      </rPr>
      <t>Feuille : TDB (Données du graphique Histogramme Empilé avec Courbe invisible)</t>
    </r>
  </si>
  <si>
    <t>Canada</t>
  </si>
  <si>
    <t>Date de début</t>
  </si>
  <si>
    <t>Date de fin</t>
  </si>
  <si>
    <t>Dates fériées</t>
  </si>
  <si>
    <t>Dates de vacances et congés</t>
  </si>
  <si>
    <t>Québec</t>
  </si>
  <si>
    <t xml:space="preserve">Dates fériées tirées du site : </t>
  </si>
  <si>
    <t xml:space="preserve">http://www.ccq.org </t>
  </si>
  <si>
    <t xml:space="preserve">http://www.ccq.org/M07_CongeVacances.aspx?sc_lang=fr-CA&amp;profil=Travailleur </t>
  </si>
  <si>
    <t xml:space="preserve">http://www.webcal.fi/fr-CA/jours_feries.php?y=2016 </t>
  </si>
  <si>
    <t>CALCULS :</t>
  </si>
  <si>
    <t>Nombre de jours de travail en 2015</t>
  </si>
  <si>
    <t>Nb jours 2015-2016</t>
  </si>
  <si>
    <t>Date de la dernière mise à  jour des données</t>
  </si>
  <si>
    <t>Nombre de jours de travail FAIT en 2015</t>
  </si>
  <si>
    <t>Nombre de jours de travail RESTANT en 2015</t>
  </si>
  <si>
    <t>Objectif annuel</t>
  </si>
  <si>
    <t>Objectif annuel divisé par le nombre de jour de travail en 2015</t>
  </si>
  <si>
    <t>Objectif journalier moyen</t>
  </si>
  <si>
    <t>Objectif jounalier selon le nombre de jours FAIT en 2015</t>
  </si>
  <si>
    <t>Différence réel vs objectif relativé</t>
  </si>
  <si>
    <t>Moyenne journalière actuelle réelle</t>
  </si>
  <si>
    <t>Nb jours à faire en 2015 selon la moyenne réelle actuelle vs objectif</t>
  </si>
  <si>
    <t>Différence de jours pour atteinte de l'objectif</t>
  </si>
  <si>
    <r>
      <rPr>
        <b/>
        <i/>
        <sz val="11"/>
        <color theme="1"/>
        <rFont val="Calibri"/>
        <family val="2"/>
        <scheme val="minor"/>
      </rPr>
      <t>Analyse</t>
    </r>
    <r>
      <rPr>
        <i/>
        <sz val="11"/>
        <color theme="1"/>
        <rFont val="Calibri"/>
        <family val="2"/>
        <scheme val="minor"/>
      </rPr>
      <t xml:space="preserve"> : Dept1 est actuellement le seul, si la tendance demeure, qui atteindra l'objectif en 2016!</t>
    </r>
  </si>
  <si>
    <t>Concaténer pour relier à une forme au TDB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</si>
</sst>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  <numFmt numFmtId="167" formatCode="[$-F800]dddd\,\ mmmm\ dd\,\ yyyy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i/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4"/>
      <color rgb="FF002060"/>
      <name val="Calibri"/>
      <family val="2"/>
    </font>
    <font>
      <sz val="14"/>
      <color rgb="FF002060"/>
      <name val="Calibri"/>
      <family val="2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rgb="FFFF0000"/>
      <name val="Calibri"/>
      <family val="2"/>
    </font>
    <font>
      <sz val="14"/>
      <color rgb="FF00B050"/>
      <name val="Calibri"/>
      <family val="2"/>
      <scheme val="minor"/>
    </font>
    <font>
      <b/>
      <sz val="14"/>
      <color rgb="FF00B050"/>
      <name val="Calibri"/>
      <family val="2"/>
    </font>
    <font>
      <sz val="14"/>
      <color rgb="FF00B050"/>
      <name val="Calibri"/>
      <family val="2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5" borderId="17" applyNumberFormat="0" applyAlignment="0" applyProtection="0"/>
    <xf numFmtId="0" fontId="5" fillId="6" borderId="18" applyNumberFormat="0" applyAlignment="0" applyProtection="0"/>
    <xf numFmtId="0" fontId="4" fillId="0" borderId="20" applyNumberFormat="0" applyFill="0" applyAlignment="0" applyProtection="0"/>
    <xf numFmtId="42" fontId="1" fillId="0" borderId="0" applyFont="0" applyFill="0" applyBorder="0" applyAlignment="0" applyProtection="0"/>
    <xf numFmtId="0" fontId="46" fillId="0" borderId="0" applyNumberFormat="0" applyFill="0" applyBorder="0" applyAlignment="0" applyProtection="0"/>
  </cellStyleXfs>
  <cellXfs count="257">
    <xf numFmtId="0" fontId="0" fillId="0" borderId="0" xfId="0"/>
    <xf numFmtId="164" fontId="1" fillId="0" borderId="0" xfId="4" applyNumberFormat="1" applyFont="1"/>
    <xf numFmtId="0" fontId="3" fillId="7" borderId="17" xfId="6" applyFill="1" applyAlignment="1">
      <alignment horizontal="center"/>
    </xf>
    <xf numFmtId="0" fontId="3" fillId="7" borderId="17" xfId="6" applyFill="1" applyAlignment="1">
      <alignment horizontal="left"/>
    </xf>
    <xf numFmtId="0" fontId="3" fillId="8" borderId="17" xfId="6" applyFill="1" applyAlignment="1">
      <alignment horizontal="center"/>
    </xf>
    <xf numFmtId="0" fontId="3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4" fillId="0" borderId="0" xfId="0" applyNumberFormat="1" applyFont="1"/>
    <xf numFmtId="0" fontId="0" fillId="0" borderId="1" xfId="0" applyBorder="1"/>
    <xf numFmtId="165" fontId="9" fillId="10" borderId="5" xfId="5" applyNumberFormat="1" applyFont="1" applyFill="1" applyBorder="1" applyAlignment="1">
      <alignment horizontal="center" vertical="center"/>
    </xf>
    <xf numFmtId="165" fontId="9" fillId="10" borderId="7" xfId="5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horizontal="right"/>
    </xf>
    <xf numFmtId="0" fontId="10" fillId="0" borderId="8" xfId="0" applyFont="1" applyBorder="1"/>
    <xf numFmtId="0" fontId="10" fillId="0" borderId="11" xfId="0" applyFont="1" applyBorder="1"/>
    <xf numFmtId="0" fontId="10" fillId="0" borderId="12" xfId="0" applyFont="1" applyBorder="1"/>
    <xf numFmtId="0" fontId="10" fillId="0" borderId="13" xfId="0" applyFont="1" applyBorder="1"/>
    <xf numFmtId="0" fontId="14" fillId="0" borderId="0" xfId="0" applyFont="1"/>
    <xf numFmtId="0" fontId="10" fillId="0" borderId="8" xfId="0" quotePrefix="1" applyFont="1" applyBorder="1"/>
    <xf numFmtId="0" fontId="4" fillId="0" borderId="0" xfId="0" applyFont="1" applyAlignment="1">
      <alignment vertical="center"/>
    </xf>
    <xf numFmtId="0" fontId="10" fillId="0" borderId="9" xfId="0" quotePrefix="1" applyFont="1" applyBorder="1"/>
    <xf numFmtId="0" fontId="10" fillId="0" borderId="10" xfId="0" quotePrefix="1" applyFont="1" applyBorder="1"/>
    <xf numFmtId="0" fontId="10" fillId="0" borderId="13" xfId="0" applyFont="1" applyBorder="1" applyAlignment="1">
      <alignment horizontal="right"/>
    </xf>
    <xf numFmtId="0" fontId="10" fillId="0" borderId="9" xfId="0" applyFont="1" applyBorder="1"/>
    <xf numFmtId="0" fontId="10" fillId="0" borderId="10" xfId="0" applyFont="1" applyBorder="1"/>
    <xf numFmtId="0" fontId="10" fillId="0" borderId="29" xfId="0" applyFont="1" applyBorder="1"/>
    <xf numFmtId="0" fontId="0" fillId="0" borderId="29" xfId="0" applyBorder="1"/>
    <xf numFmtId="0" fontId="0" fillId="0" borderId="26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27" xfId="0" applyBorder="1"/>
    <xf numFmtId="0" fontId="0" fillId="0" borderId="9" xfId="0" applyBorder="1"/>
    <xf numFmtId="0" fontId="0" fillId="0" borderId="13" xfId="0" applyBorder="1"/>
    <xf numFmtId="0" fontId="0" fillId="0" borderId="26" xfId="0" applyFont="1" applyBorder="1"/>
    <xf numFmtId="0" fontId="0" fillId="0" borderId="10" xfId="0" applyFont="1" applyBorder="1"/>
    <xf numFmtId="0" fontId="0" fillId="9" borderId="0" xfId="0" applyFill="1"/>
    <xf numFmtId="0" fontId="4" fillId="0" borderId="0" xfId="0" applyFont="1"/>
    <xf numFmtId="49" fontId="4" fillId="0" borderId="0" xfId="0" quotePrefix="1" applyNumberFormat="1" applyFont="1"/>
    <xf numFmtId="0" fontId="0" fillId="9" borderId="0" xfId="0" applyFill="1" applyBorder="1"/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20" fillId="11" borderId="33" xfId="0" applyFont="1" applyFill="1" applyBorder="1" applyAlignment="1">
      <alignment horizontal="center" vertical="center" wrapText="1"/>
    </xf>
    <xf numFmtId="0" fontId="17" fillId="11" borderId="0" xfId="0" applyFont="1" applyFill="1" applyBorder="1"/>
    <xf numFmtId="0" fontId="6" fillId="11" borderId="0" xfId="0" applyFont="1" applyFill="1" applyBorder="1"/>
    <xf numFmtId="166" fontId="7" fillId="16" borderId="4" xfId="4" applyNumberFormat="1" applyFont="1" applyFill="1" applyBorder="1" applyAlignment="1">
      <alignment horizontal="center" vertical="center"/>
    </xf>
    <xf numFmtId="166" fontId="8" fillId="16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7" fillId="16" borderId="5" xfId="4" applyNumberFormat="1" applyFont="1" applyFill="1" applyBorder="1" applyAlignment="1">
      <alignment horizontal="center" vertical="center"/>
    </xf>
    <xf numFmtId="0" fontId="21" fillId="14" borderId="2" xfId="0" applyFont="1" applyFill="1" applyBorder="1"/>
    <xf numFmtId="0" fontId="21" fillId="14" borderId="1" xfId="0" applyFont="1" applyFill="1" applyBorder="1"/>
    <xf numFmtId="0" fontId="21" fillId="14" borderId="1" xfId="0" applyFont="1" applyFill="1" applyBorder="1" applyAlignment="1">
      <alignment horizontal="right"/>
    </xf>
    <xf numFmtId="0" fontId="21" fillId="14" borderId="1" xfId="0" applyFont="1" applyFill="1" applyBorder="1" applyAlignment="1">
      <alignment horizontal="center"/>
    </xf>
    <xf numFmtId="0" fontId="21" fillId="14" borderId="1" xfId="0" applyFont="1" applyFill="1" applyBorder="1" applyAlignment="1">
      <alignment horizontal="left"/>
    </xf>
    <xf numFmtId="0" fontId="21" fillId="14" borderId="3" xfId="0" applyFont="1" applyFill="1" applyBorder="1"/>
    <xf numFmtId="0" fontId="22" fillId="17" borderId="0" xfId="0" applyFont="1" applyFill="1" applyBorder="1" applyAlignment="1">
      <alignment horizontal="left"/>
    </xf>
    <xf numFmtId="0" fontId="18" fillId="20" borderId="0" xfId="0" applyFont="1" applyFill="1" applyBorder="1" applyAlignment="1">
      <alignment horizontal="right"/>
    </xf>
    <xf numFmtId="0" fontId="0" fillId="17" borderId="0" xfId="0" applyFill="1" applyBorder="1"/>
    <xf numFmtId="0" fontId="0" fillId="17" borderId="0" xfId="0" applyFont="1" applyFill="1" applyBorder="1" applyAlignment="1">
      <alignment horizontal="right"/>
    </xf>
    <xf numFmtId="166" fontId="25" fillId="12" borderId="37" xfId="0" applyNumberFormat="1" applyFont="1" applyFill="1" applyBorder="1" applyAlignment="1">
      <alignment horizontal="right"/>
    </xf>
    <xf numFmtId="165" fontId="25" fillId="12" borderId="37" xfId="0" applyNumberFormat="1" applyFont="1" applyFill="1" applyBorder="1" applyAlignment="1"/>
    <xf numFmtId="0" fontId="0" fillId="17" borderId="0" xfId="0" applyFill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49" fontId="4" fillId="0" borderId="0" xfId="0" quotePrefix="1" applyNumberFormat="1" applyFont="1" applyFill="1"/>
    <xf numFmtId="0" fontId="10" fillId="0" borderId="13" xfId="0" applyFont="1" applyFill="1" applyBorder="1" applyAlignment="1">
      <alignment horizontal="right"/>
    </xf>
    <xf numFmtId="0" fontId="10" fillId="0" borderId="9" xfId="0" applyFont="1" applyFill="1" applyBorder="1"/>
    <xf numFmtId="0" fontId="10" fillId="0" borderId="8" xfId="0" applyFont="1" applyFill="1" applyBorder="1"/>
    <xf numFmtId="49" fontId="10" fillId="0" borderId="8" xfId="0" quotePrefix="1" applyNumberFormat="1" applyFont="1" applyBorder="1"/>
    <xf numFmtId="49" fontId="10" fillId="0" borderId="8" xfId="0" quotePrefix="1" applyNumberFormat="1" applyFont="1" applyFill="1" applyBorder="1"/>
    <xf numFmtId="0" fontId="10" fillId="0" borderId="12" xfId="0" applyFont="1" applyFill="1" applyBorder="1" applyAlignment="1">
      <alignment horizontal="right"/>
    </xf>
    <xf numFmtId="49" fontId="10" fillId="0" borderId="9" xfId="0" quotePrefix="1" applyNumberFormat="1" applyFont="1" applyFill="1" applyBorder="1"/>
    <xf numFmtId="0" fontId="0" fillId="0" borderId="12" xfId="0" applyFont="1" applyBorder="1"/>
    <xf numFmtId="0" fontId="0" fillId="0" borderId="8" xfId="0" applyFont="1" applyBorder="1"/>
    <xf numFmtId="0" fontId="0" fillId="0" borderId="0" xfId="0" applyFont="1"/>
    <xf numFmtId="0" fontId="10" fillId="0" borderId="13" xfId="0" quotePrefix="1" applyFont="1" applyBorder="1"/>
    <xf numFmtId="0" fontId="10" fillId="0" borderId="12" xfId="0" quotePrefix="1" applyFont="1" applyBorder="1"/>
    <xf numFmtId="0" fontId="3" fillId="8" borderId="41" xfId="6" applyFill="1" applyBorder="1" applyAlignment="1">
      <alignment horizontal="center"/>
    </xf>
    <xf numFmtId="42" fontId="0" fillId="0" borderId="0" xfId="9" applyFont="1"/>
    <xf numFmtId="0" fontId="22" fillId="18" borderId="34" xfId="0" applyFont="1" applyFill="1" applyBorder="1" applyAlignment="1">
      <alignment horizontal="center"/>
    </xf>
    <xf numFmtId="0" fontId="0" fillId="17" borderId="26" xfId="0" applyFill="1" applyBorder="1"/>
    <xf numFmtId="0" fontId="0" fillId="17" borderId="10" xfId="0" applyFill="1" applyBorder="1"/>
    <xf numFmtId="0" fontId="4" fillId="17" borderId="12" xfId="0" applyFont="1" applyFill="1" applyBorder="1" applyAlignment="1">
      <alignment horizontal="center" vertical="center" textRotation="90"/>
    </xf>
    <xf numFmtId="0" fontId="0" fillId="17" borderId="8" xfId="0" applyFill="1" applyBorder="1"/>
    <xf numFmtId="0" fontId="0" fillId="17" borderId="13" xfId="0" applyFill="1" applyBorder="1" applyAlignment="1"/>
    <xf numFmtId="0" fontId="0" fillId="17" borderId="27" xfId="0" applyFill="1" applyBorder="1" applyAlignment="1"/>
    <xf numFmtId="0" fontId="0" fillId="17" borderId="9" xfId="0" applyFill="1" applyBorder="1"/>
    <xf numFmtId="0" fontId="0" fillId="17" borderId="12" xfId="0" applyFill="1" applyBorder="1"/>
    <xf numFmtId="0" fontId="0" fillId="17" borderId="13" xfId="0" applyFill="1" applyBorder="1"/>
    <xf numFmtId="0" fontId="0" fillId="17" borderId="27" xfId="0" applyFill="1" applyBorder="1"/>
    <xf numFmtId="0" fontId="0" fillId="17" borderId="11" xfId="0" applyFill="1" applyBorder="1"/>
    <xf numFmtId="0" fontId="0" fillId="10" borderId="26" xfId="0" applyFill="1" applyBorder="1"/>
    <xf numFmtId="0" fontId="0" fillId="10" borderId="0" xfId="0" applyFill="1" applyBorder="1" applyAlignment="1">
      <alignment horizontal="right"/>
    </xf>
    <xf numFmtId="0" fontId="22" fillId="17" borderId="27" xfId="0" applyFont="1" applyFill="1" applyBorder="1" applyAlignment="1">
      <alignment horizontal="left"/>
    </xf>
    <xf numFmtId="0" fontId="0" fillId="10" borderId="27" xfId="0" applyFill="1" applyBorder="1"/>
    <xf numFmtId="0" fontId="18" fillId="19" borderId="27" xfId="0" applyFont="1" applyFill="1" applyBorder="1" applyAlignment="1">
      <alignment horizontal="left"/>
    </xf>
    <xf numFmtId="0" fontId="16" fillId="10" borderId="27" xfId="0" applyFont="1" applyFill="1" applyBorder="1" applyAlignment="1"/>
    <xf numFmtId="0" fontId="18" fillId="19" borderId="27" xfId="0" applyFont="1" applyFill="1" applyBorder="1" applyAlignment="1">
      <alignment horizontal="right"/>
    </xf>
    <xf numFmtId="0" fontId="0" fillId="10" borderId="27" xfId="0" applyFill="1" applyBorder="1" applyAlignment="1">
      <alignment horizontal="center"/>
    </xf>
    <xf numFmtId="0" fontId="0" fillId="17" borderId="26" xfId="0" applyFont="1" applyFill="1" applyBorder="1" applyAlignment="1">
      <alignment horizontal="right" indent="2"/>
    </xf>
    <xf numFmtId="0" fontId="0" fillId="17" borderId="10" xfId="0" quotePrefix="1" applyFill="1" applyBorder="1"/>
    <xf numFmtId="42" fontId="0" fillId="17" borderId="8" xfId="0" applyNumberFormat="1" applyFill="1" applyBorder="1"/>
    <xf numFmtId="42" fontId="0" fillId="17" borderId="0" xfId="0" applyNumberFormat="1" applyFill="1" applyBorder="1"/>
    <xf numFmtId="0" fontId="26" fillId="17" borderId="0" xfId="0" applyFont="1" applyFill="1" applyBorder="1"/>
    <xf numFmtId="0" fontId="2" fillId="11" borderId="0" xfId="0" applyFont="1" applyFill="1"/>
    <xf numFmtId="166" fontId="2" fillId="11" borderId="0" xfId="0" applyNumberFormat="1" applyFont="1" applyFill="1"/>
    <xf numFmtId="164" fontId="0" fillId="0" borderId="0" xfId="0" applyNumberFormat="1"/>
    <xf numFmtId="165" fontId="0" fillId="0" borderId="0" xfId="5" applyNumberFormat="1" applyFont="1"/>
    <xf numFmtId="0" fontId="24" fillId="17" borderId="12" xfId="0" applyFont="1" applyFill="1" applyBorder="1" applyAlignment="1">
      <alignment vertical="center"/>
    </xf>
    <xf numFmtId="0" fontId="31" fillId="17" borderId="0" xfId="0" applyFont="1" applyFill="1" applyBorder="1" applyAlignment="1">
      <alignment horizontal="center"/>
    </xf>
    <xf numFmtId="0" fontId="31" fillId="17" borderId="8" xfId="0" applyFont="1" applyFill="1" applyBorder="1" applyAlignment="1">
      <alignment horizontal="center"/>
    </xf>
    <xf numFmtId="0" fontId="31" fillId="17" borderId="26" xfId="0" applyFont="1" applyFill="1" applyBorder="1" applyAlignment="1">
      <alignment horizontal="center"/>
    </xf>
    <xf numFmtId="0" fontId="31" fillId="17" borderId="10" xfId="0" applyFont="1" applyFill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42" fontId="0" fillId="0" borderId="34" xfId="9" applyFont="1" applyBorder="1"/>
    <xf numFmtId="0" fontId="4" fillId="0" borderId="0" xfId="0" applyFont="1" applyBorder="1" applyAlignment="1"/>
    <xf numFmtId="42" fontId="0" fillId="0" borderId="35" xfId="9" applyFont="1" applyBorder="1"/>
    <xf numFmtId="165" fontId="0" fillId="0" borderId="34" xfId="5" applyNumberFormat="1" applyFont="1" applyBorder="1"/>
    <xf numFmtId="9" fontId="0" fillId="0" borderId="34" xfId="0" applyNumberFormat="1" applyBorder="1"/>
    <xf numFmtId="165" fontId="0" fillId="0" borderId="34" xfId="0" applyNumberFormat="1" applyBorder="1"/>
    <xf numFmtId="9" fontId="0" fillId="0" borderId="0" xfId="0" applyNumberFormat="1" applyBorder="1" applyAlignment="1">
      <alignment horizontal="center"/>
    </xf>
    <xf numFmtId="165" fontId="0" fillId="0" borderId="29" xfId="5" applyNumberFormat="1" applyFont="1" applyBorder="1"/>
    <xf numFmtId="0" fontId="0" fillId="0" borderId="0" xfId="0" applyBorder="1" applyAlignment="1">
      <alignment horizontal="right"/>
    </xf>
    <xf numFmtId="9" fontId="0" fillId="0" borderId="0" xfId="0" applyNumberFormat="1" applyBorder="1"/>
    <xf numFmtId="165" fontId="0" fillId="0" borderId="29" xfId="0" applyNumberFormat="1" applyBorder="1"/>
    <xf numFmtId="9" fontId="0" fillId="0" borderId="29" xfId="0" applyNumberFormat="1" applyBorder="1"/>
    <xf numFmtId="0" fontId="24" fillId="17" borderId="26" xfId="0" applyFont="1" applyFill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0" fillId="17" borderId="27" xfId="0" applyFill="1" applyBorder="1" applyAlignment="1">
      <alignment horizontal="right"/>
    </xf>
    <xf numFmtId="0" fontId="24" fillId="0" borderId="34" xfId="0" applyFont="1" applyBorder="1"/>
    <xf numFmtId="0" fontId="4" fillId="0" borderId="0" xfId="0" applyFont="1" applyAlignment="1">
      <alignment horizontal="right"/>
    </xf>
    <xf numFmtId="14" fontId="0" fillId="0" borderId="0" xfId="0" applyNumberFormat="1"/>
    <xf numFmtId="14" fontId="0" fillId="22" borderId="0" xfId="0" applyNumberFormat="1" applyFill="1"/>
    <xf numFmtId="14" fontId="0" fillId="23" borderId="0" xfId="0" applyNumberFormat="1" applyFill="1"/>
    <xf numFmtId="0" fontId="4" fillId="0" borderId="11" xfId="0" applyFont="1" applyBorder="1"/>
    <xf numFmtId="0" fontId="46" fillId="0" borderId="12" xfId="10" applyBorder="1"/>
    <xf numFmtId="0" fontId="46" fillId="0" borderId="13" xfId="10" applyBorder="1"/>
    <xf numFmtId="0" fontId="0" fillId="0" borderId="0" xfId="0" applyAlignment="1">
      <alignment horizontal="right"/>
    </xf>
    <xf numFmtId="166" fontId="0" fillId="0" borderId="34" xfId="9" applyNumberFormat="1" applyFont="1" applyBorder="1" applyAlignment="1">
      <alignment horizontal="center"/>
    </xf>
    <xf numFmtId="166" fontId="0" fillId="0" borderId="3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1" fontId="0" fillId="22" borderId="34" xfId="0" applyNumberFormat="1" applyFill="1" applyBorder="1" applyAlignment="1">
      <alignment horizontal="center"/>
    </xf>
    <xf numFmtId="0" fontId="0" fillId="25" borderId="34" xfId="0" applyFill="1" applyBorder="1" applyAlignment="1">
      <alignment horizontal="center"/>
    </xf>
    <xf numFmtId="167" fontId="0" fillId="26" borderId="34" xfId="0" applyNumberFormat="1" applyFill="1" applyBorder="1" applyAlignment="1">
      <alignment horizontal="center"/>
    </xf>
    <xf numFmtId="0" fontId="0" fillId="0" borderId="34" xfId="0" applyNumberFormat="1" applyBorder="1" applyAlignment="1">
      <alignment horizontal="center"/>
    </xf>
    <xf numFmtId="0" fontId="45" fillId="21" borderId="11" xfId="0" applyFont="1" applyFill="1" applyBorder="1" applyAlignment="1">
      <alignment horizontal="center" vertical="center"/>
    </xf>
    <xf numFmtId="0" fontId="45" fillId="21" borderId="26" xfId="0" applyFont="1" applyFill="1" applyBorder="1" applyAlignment="1">
      <alignment horizontal="center" vertical="center"/>
    </xf>
    <xf numFmtId="0" fontId="45" fillId="21" borderId="10" xfId="0" applyFont="1" applyFill="1" applyBorder="1" applyAlignment="1">
      <alignment horizontal="center" vertical="center"/>
    </xf>
    <xf numFmtId="0" fontId="45" fillId="21" borderId="13" xfId="0" applyFont="1" applyFill="1" applyBorder="1" applyAlignment="1">
      <alignment horizontal="center" vertical="center"/>
    </xf>
    <xf numFmtId="0" fontId="45" fillId="21" borderId="27" xfId="0" applyFont="1" applyFill="1" applyBorder="1" applyAlignment="1">
      <alignment horizontal="center" vertical="center"/>
    </xf>
    <xf numFmtId="0" fontId="45" fillId="21" borderId="9" xfId="0" applyFont="1" applyFill="1" applyBorder="1" applyAlignment="1">
      <alignment horizontal="center" vertical="center"/>
    </xf>
    <xf numFmtId="0" fontId="24" fillId="17" borderId="0" xfId="0" applyFont="1" applyFill="1" applyBorder="1" applyAlignment="1">
      <alignment horizontal="center"/>
    </xf>
    <xf numFmtId="0" fontId="45" fillId="21" borderId="28" xfId="0" applyFont="1" applyFill="1" applyBorder="1" applyAlignment="1">
      <alignment horizontal="center"/>
    </xf>
    <xf numFmtId="0" fontId="45" fillId="21" borderId="1" xfId="0" applyFont="1" applyFill="1" applyBorder="1" applyAlignment="1">
      <alignment horizontal="center"/>
    </xf>
    <xf numFmtId="0" fontId="45" fillId="21" borderId="29" xfId="0" applyFont="1" applyFill="1" applyBorder="1" applyAlignment="1">
      <alignment horizontal="center"/>
    </xf>
    <xf numFmtId="0" fontId="22" fillId="18" borderId="0" xfId="0" applyFont="1" applyFill="1" applyBorder="1" applyAlignment="1">
      <alignment horizontal="center"/>
    </xf>
    <xf numFmtId="0" fontId="5" fillId="21" borderId="8" xfId="0" applyFont="1" applyFill="1" applyBorder="1" applyAlignment="1">
      <alignment horizontal="center" vertical="center" textRotation="90"/>
    </xf>
    <xf numFmtId="0" fontId="5" fillId="21" borderId="9" xfId="0" applyFont="1" applyFill="1" applyBorder="1" applyAlignment="1">
      <alignment horizontal="center" vertical="center" textRotation="90"/>
    </xf>
    <xf numFmtId="0" fontId="30" fillId="21" borderId="36" xfId="0" applyFont="1" applyFill="1" applyBorder="1" applyAlignment="1">
      <alignment horizontal="center" vertical="center" textRotation="90"/>
    </xf>
    <xf numFmtId="0" fontId="30" fillId="21" borderId="38" xfId="0" applyFont="1" applyFill="1" applyBorder="1" applyAlignment="1">
      <alignment horizontal="center" vertical="center" textRotation="90"/>
    </xf>
    <xf numFmtId="0" fontId="5" fillId="21" borderId="35" xfId="0" applyFont="1" applyFill="1" applyBorder="1" applyAlignment="1">
      <alignment horizontal="center" vertical="center" textRotation="90"/>
    </xf>
    <xf numFmtId="0" fontId="5" fillId="21" borderId="36" xfId="0" applyFont="1" applyFill="1" applyBorder="1" applyAlignment="1">
      <alignment horizontal="center" vertical="center" textRotation="90"/>
    </xf>
    <xf numFmtId="0" fontId="5" fillId="21" borderId="38" xfId="0" applyFont="1" applyFill="1" applyBorder="1" applyAlignment="1">
      <alignment horizontal="center" vertical="center" textRotation="90"/>
    </xf>
    <xf numFmtId="0" fontId="28" fillId="21" borderId="13" xfId="0" applyFont="1" applyFill="1" applyBorder="1" applyAlignment="1">
      <alignment horizontal="center" vertical="center"/>
    </xf>
    <xf numFmtId="0" fontId="28" fillId="21" borderId="27" xfId="0" applyFont="1" applyFill="1" applyBorder="1" applyAlignment="1">
      <alignment horizontal="center" vertical="center"/>
    </xf>
    <xf numFmtId="0" fontId="28" fillId="21" borderId="9" xfId="0" applyFont="1" applyFill="1" applyBorder="1" applyAlignment="1">
      <alignment horizontal="center" vertical="center"/>
    </xf>
    <xf numFmtId="0" fontId="29" fillId="21" borderId="11" xfId="0" applyFont="1" applyFill="1" applyBorder="1" applyAlignment="1">
      <alignment horizontal="center" vertical="center" textRotation="90" wrapText="1"/>
    </xf>
    <xf numFmtId="0" fontId="29" fillId="21" borderId="10" xfId="0" applyFont="1" applyFill="1" applyBorder="1" applyAlignment="1">
      <alignment horizontal="center" vertical="center" textRotation="90" wrapText="1"/>
    </xf>
    <xf numFmtId="0" fontId="29" fillId="21" borderId="12" xfId="0" applyFont="1" applyFill="1" applyBorder="1" applyAlignment="1">
      <alignment horizontal="center" vertical="center" textRotation="90" wrapText="1"/>
    </xf>
    <xf numFmtId="0" fontId="29" fillId="21" borderId="8" xfId="0" applyFont="1" applyFill="1" applyBorder="1" applyAlignment="1">
      <alignment horizontal="center" vertical="center" textRotation="90" wrapText="1"/>
    </xf>
    <xf numFmtId="0" fontId="29" fillId="21" borderId="13" xfId="0" applyFont="1" applyFill="1" applyBorder="1" applyAlignment="1">
      <alignment horizontal="center" vertical="center" textRotation="90" wrapText="1"/>
    </xf>
    <xf numFmtId="0" fontId="29" fillId="21" borderId="9" xfId="0" applyFont="1" applyFill="1" applyBorder="1" applyAlignment="1">
      <alignment horizontal="center" vertical="center" textRotation="90" wrapText="1"/>
    </xf>
    <xf numFmtId="0" fontId="31" fillId="17" borderId="11" xfId="0" applyFont="1" applyFill="1" applyBorder="1" applyAlignment="1">
      <alignment horizontal="center"/>
    </xf>
    <xf numFmtId="0" fontId="31" fillId="17" borderId="26" xfId="0" applyFont="1" applyFill="1" applyBorder="1" applyAlignment="1">
      <alignment horizontal="center"/>
    </xf>
    <xf numFmtId="0" fontId="31" fillId="17" borderId="10" xfId="0" applyFont="1" applyFill="1" applyBorder="1" applyAlignment="1">
      <alignment horizontal="center"/>
    </xf>
    <xf numFmtId="165" fontId="32" fillId="17" borderId="12" xfId="5" applyNumberFormat="1" applyFont="1" applyFill="1" applyBorder="1" applyAlignment="1">
      <alignment horizontal="center" vertical="center"/>
    </xf>
    <xf numFmtId="165" fontId="32" fillId="17" borderId="0" xfId="5" applyNumberFormat="1" applyFont="1" applyFill="1" applyBorder="1" applyAlignment="1">
      <alignment horizontal="center" vertical="center"/>
    </xf>
    <xf numFmtId="165" fontId="32" fillId="17" borderId="13" xfId="5" applyNumberFormat="1" applyFont="1" applyFill="1" applyBorder="1" applyAlignment="1">
      <alignment horizontal="center" vertical="center"/>
    </xf>
    <xf numFmtId="165" fontId="32" fillId="17" borderId="27" xfId="5" applyNumberFormat="1" applyFont="1" applyFill="1" applyBorder="1" applyAlignment="1">
      <alignment horizontal="center" vertical="center"/>
    </xf>
    <xf numFmtId="165" fontId="23" fillId="17" borderId="0" xfId="5" applyNumberFormat="1" applyFont="1" applyFill="1" applyBorder="1" applyAlignment="1">
      <alignment horizontal="center" vertical="center"/>
    </xf>
    <xf numFmtId="165" fontId="23" fillId="17" borderId="8" xfId="5" applyNumberFormat="1" applyFont="1" applyFill="1" applyBorder="1" applyAlignment="1">
      <alignment horizontal="center" vertical="center"/>
    </xf>
    <xf numFmtId="165" fontId="23" fillId="17" borderId="27" xfId="5" applyNumberFormat="1" applyFont="1" applyFill="1" applyBorder="1" applyAlignment="1">
      <alignment horizontal="center" vertical="center"/>
    </xf>
    <xf numFmtId="165" fontId="23" fillId="17" borderId="9" xfId="5" applyNumberFormat="1" applyFont="1" applyFill="1" applyBorder="1" applyAlignment="1">
      <alignment horizontal="center" vertical="center"/>
    </xf>
    <xf numFmtId="0" fontId="28" fillId="21" borderId="28" xfId="0" applyFont="1" applyFill="1" applyBorder="1" applyAlignment="1">
      <alignment horizontal="center"/>
    </xf>
    <xf numFmtId="0" fontId="28" fillId="21" borderId="1" xfId="0" applyFont="1" applyFill="1" applyBorder="1" applyAlignment="1">
      <alignment horizontal="center"/>
    </xf>
    <xf numFmtId="0" fontId="28" fillId="21" borderId="29" xfId="0" applyFont="1" applyFill="1" applyBorder="1" applyAlignment="1">
      <alignment horizontal="center"/>
    </xf>
    <xf numFmtId="166" fontId="42" fillId="17" borderId="0" xfId="9" applyNumberFormat="1" applyFont="1" applyFill="1" applyBorder="1" applyAlignment="1">
      <alignment horizontal="right"/>
    </xf>
    <xf numFmtId="0" fontId="0" fillId="17" borderId="12" xfId="0" applyFill="1" applyBorder="1" applyAlignment="1">
      <alignment horizontal="center"/>
    </xf>
    <xf numFmtId="0" fontId="0" fillId="17" borderId="12" xfId="0" applyFill="1" applyBorder="1" applyAlignment="1">
      <alignment horizontal="right"/>
    </xf>
    <xf numFmtId="166" fontId="42" fillId="17" borderId="0" xfId="0" applyNumberFormat="1" applyFont="1" applyFill="1" applyBorder="1" applyAlignment="1">
      <alignment horizontal="right"/>
    </xf>
    <xf numFmtId="165" fontId="44" fillId="17" borderId="8" xfId="5" applyNumberFormat="1" applyFont="1" applyFill="1" applyBorder="1" applyAlignment="1">
      <alignment horizontal="right"/>
    </xf>
    <xf numFmtId="42" fontId="43" fillId="17" borderId="8" xfId="0" applyNumberFormat="1" applyFont="1" applyFill="1" applyBorder="1" applyAlignment="1">
      <alignment horizontal="center" vertical="center"/>
    </xf>
    <xf numFmtId="0" fontId="10" fillId="0" borderId="28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6" fillId="15" borderId="25" xfId="7" applyFont="1" applyFill="1" applyBorder="1" applyAlignment="1">
      <alignment horizontal="center"/>
    </xf>
    <xf numFmtId="0" fontId="16" fillId="15" borderId="0" xfId="7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26" xfId="0" applyFont="1" applyBorder="1" applyAlignment="1">
      <alignment horizontal="right"/>
    </xf>
    <xf numFmtId="0" fontId="10" fillId="0" borderId="1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4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4" xfId="0" applyFont="1" applyBorder="1" applyAlignment="1">
      <alignment horizontal="right"/>
    </xf>
    <xf numFmtId="9" fontId="4" fillId="0" borderId="34" xfId="0" applyNumberFormat="1" applyFont="1" applyBorder="1" applyAlignment="1">
      <alignment horizontal="right"/>
    </xf>
    <xf numFmtId="0" fontId="0" fillId="24" borderId="34" xfId="0" applyFont="1" applyFill="1" applyBorder="1" applyAlignment="1">
      <alignment horizontal="center"/>
    </xf>
    <xf numFmtId="167" fontId="0" fillId="22" borderId="34" xfId="0" applyNumberFormat="1" applyFont="1" applyFill="1" applyBorder="1" applyAlignment="1">
      <alignment horizontal="center"/>
    </xf>
    <xf numFmtId="0" fontId="10" fillId="0" borderId="34" xfId="0" applyFont="1" applyBorder="1" applyAlignment="1">
      <alignment horizontal="center" wrapText="1"/>
    </xf>
    <xf numFmtId="0" fontId="0" fillId="25" borderId="34" xfId="0" applyFill="1" applyBorder="1" applyAlignment="1">
      <alignment horizontal="center"/>
    </xf>
    <xf numFmtId="0" fontId="0" fillId="8" borderId="34" xfId="0" applyFill="1" applyBorder="1" applyAlignment="1">
      <alignment horizontal="center"/>
    </xf>
    <xf numFmtId="0" fontId="21" fillId="14" borderId="14" xfId="1" applyFont="1" applyFill="1" applyBorder="1" applyAlignment="1">
      <alignment horizontal="center"/>
    </xf>
    <xf numFmtId="0" fontId="21" fillId="14" borderId="15" xfId="1" applyFont="1" applyFill="1" applyBorder="1" applyAlignment="1">
      <alignment horizontal="center"/>
    </xf>
    <xf numFmtId="0" fontId="21" fillId="14" borderId="16" xfId="1" applyFont="1" applyFill="1" applyBorder="1" applyAlignment="1">
      <alignment horizontal="center"/>
    </xf>
    <xf numFmtId="0" fontId="11" fillId="11" borderId="0" xfId="3" applyFont="1" applyFill="1" applyAlignment="1">
      <alignment horizontal="center" vertical="center"/>
    </xf>
    <xf numFmtId="0" fontId="12" fillId="11" borderId="0" xfId="3" applyFont="1" applyFill="1" applyAlignment="1">
      <alignment horizontal="center" vertical="center"/>
    </xf>
    <xf numFmtId="0" fontId="19" fillId="14" borderId="14" xfId="1" applyFont="1" applyFill="1" applyBorder="1" applyAlignment="1">
      <alignment horizontal="center"/>
    </xf>
    <xf numFmtId="0" fontId="19" fillId="14" borderId="15" xfId="1" applyFont="1" applyFill="1" applyBorder="1" applyAlignment="1">
      <alignment horizontal="center"/>
    </xf>
    <xf numFmtId="0" fontId="19" fillId="14" borderId="16" xfId="1" applyFont="1" applyFill="1" applyBorder="1" applyAlignment="1">
      <alignment horizontal="center"/>
    </xf>
    <xf numFmtId="0" fontId="13" fillId="13" borderId="0" xfId="2" applyFont="1" applyFill="1" applyBorder="1" applyAlignment="1">
      <alignment horizontal="center"/>
    </xf>
    <xf numFmtId="0" fontId="13" fillId="13" borderId="0" xfId="2" applyFont="1" applyFill="1" applyAlignment="1">
      <alignment horizontal="center"/>
    </xf>
    <xf numFmtId="0" fontId="33" fillId="0" borderId="19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9" fillId="0" borderId="19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5" fillId="6" borderId="18" xfId="7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0" borderId="20" xfId="8" applyFont="1"/>
    <xf numFmtId="0" fontId="17" fillId="6" borderId="18" xfId="7" applyFont="1" applyAlignment="1">
      <alignment horizontal="center" vertical="center" wrapText="1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0" fillId="8" borderId="34" xfId="0" applyFont="1" applyFill="1" applyBorder="1" applyAlignment="1">
      <alignment horizontal="center"/>
    </xf>
    <xf numFmtId="0" fontId="4" fillId="17" borderId="34" xfId="0" applyFont="1" applyFill="1" applyBorder="1" applyAlignment="1">
      <alignment horizontal="center"/>
    </xf>
    <xf numFmtId="0" fontId="42" fillId="17" borderId="34" xfId="0" applyFont="1" applyFill="1" applyBorder="1" applyAlignment="1">
      <alignment horizontal="center"/>
    </xf>
    <xf numFmtId="0" fontId="47" fillId="17" borderId="28" xfId="0" applyFont="1" applyFill="1" applyBorder="1" applyAlignment="1">
      <alignment horizontal="center"/>
    </xf>
    <xf numFmtId="0" fontId="47" fillId="17" borderId="1" xfId="0" applyFont="1" applyFill="1" applyBorder="1" applyAlignment="1">
      <alignment horizontal="center"/>
    </xf>
    <xf numFmtId="0" fontId="47" fillId="17" borderId="29" xfId="0" applyFont="1" applyFill="1" applyBorder="1" applyAlignment="1">
      <alignment horizontal="center"/>
    </xf>
    <xf numFmtId="0" fontId="4" fillId="17" borderId="34" xfId="0" applyFont="1" applyFill="1" applyBorder="1" applyAlignment="1">
      <alignment horizontal="center"/>
    </xf>
  </cellXfs>
  <cellStyles count="11">
    <cellStyle name="40 % - Accent2" xfId="1" builtinId="35"/>
    <cellStyle name="Accent2" xfId="2" builtinId="33"/>
    <cellStyle name="Accent6" xfId="3" builtinId="49"/>
    <cellStyle name="Lien hypertexte" xfId="10" builtinId="8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12"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C000"/>
      </font>
    </dxf>
    <dxf>
      <font>
        <b/>
        <i val="0"/>
        <color rgb="FFFFFF00"/>
      </font>
    </dxf>
    <dxf>
      <font>
        <b/>
        <i val="0"/>
        <color rgb="FF00B05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AnneeEnCours!$B$4</c:f>
              <c:strCache>
                <c:ptCount val="1"/>
                <c:pt idx="0">
                  <c:v>Janvier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AnneeEnCours!$B$5:$B$7</c:f>
              <c:numCache>
                <c:formatCode>_ * #\ ##0_)\ "$"_ ;_ * \(#\ ##0\)\ "$"_ ;_ * "-"??_)\ "$"_ ;_ @_ </c:formatCode>
                <c:ptCount val="3"/>
                <c:pt idx="0">
                  <c:v>14355</c:v>
                </c:pt>
                <c:pt idx="1">
                  <c:v>19068</c:v>
                </c:pt>
                <c:pt idx="2">
                  <c:v>9870</c:v>
                </c:pt>
              </c:numCache>
            </c:numRef>
          </c:val>
        </c:ser>
        <c:ser>
          <c:idx val="1"/>
          <c:order val="1"/>
          <c:tx>
            <c:strRef>
              <c:f>AnneeEnCours!$C$4</c:f>
              <c:strCache>
                <c:ptCount val="1"/>
                <c:pt idx="0">
                  <c:v>Février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AnneeEnCours!$C$5:$C$7</c:f>
              <c:numCache>
                <c:formatCode>_ * #\ ##0_)\ "$"_ ;_ * \(#\ ##0\)\ "$"_ ;_ * "-"??_)\ "$"_ ;_ @_ </c:formatCode>
                <c:ptCount val="3"/>
                <c:pt idx="0">
                  <c:v>16200</c:v>
                </c:pt>
                <c:pt idx="1">
                  <c:v>19804.21</c:v>
                </c:pt>
                <c:pt idx="2">
                  <c:v>9875</c:v>
                </c:pt>
              </c:numCache>
            </c:numRef>
          </c:val>
        </c:ser>
        <c:ser>
          <c:idx val="2"/>
          <c:order val="2"/>
          <c:tx>
            <c:strRef>
              <c:f>AnneeEnCours!$D$4</c:f>
              <c:strCache>
                <c:ptCount val="1"/>
                <c:pt idx="0">
                  <c:v>Mars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AnneeEnCours!$D$5:$D$7</c:f>
              <c:numCache>
                <c:formatCode>_ * #\ ##0_)\ "$"_ ;_ * \(#\ ##0\)\ "$"_ ;_ * "-"??_)\ "$"_ ;_ @_ </c:formatCode>
                <c:ptCount val="3"/>
                <c:pt idx="0">
                  <c:v>15154</c:v>
                </c:pt>
                <c:pt idx="1">
                  <c:v>20316.990000000002</c:v>
                </c:pt>
                <c:pt idx="2">
                  <c:v>9505</c:v>
                </c:pt>
              </c:numCache>
            </c:numRef>
          </c:val>
        </c:ser>
        <c:ser>
          <c:idx val="3"/>
          <c:order val="3"/>
          <c:tx>
            <c:strRef>
              <c:f>AnneeEnCours!$E$4</c:f>
              <c:strCache>
                <c:ptCount val="1"/>
                <c:pt idx="0">
                  <c:v>Avril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AnneeEnCours!$E$5:$E$7</c:f>
              <c:numCache>
                <c:formatCode>_ * #\ ##0_)\ "$"_ ;_ * \(#\ ##0\)\ "$"_ ;_ * "-"??_)\ "$"_ ;_ @_ </c:formatCode>
                <c:ptCount val="3"/>
                <c:pt idx="0">
                  <c:v>12005</c:v>
                </c:pt>
                <c:pt idx="1">
                  <c:v>22162</c:v>
                </c:pt>
                <c:pt idx="2">
                  <c:v>9505</c:v>
                </c:pt>
              </c:numCache>
            </c:numRef>
          </c:val>
        </c:ser>
        <c:ser>
          <c:idx val="4"/>
          <c:order val="4"/>
          <c:tx>
            <c:strRef>
              <c:f>AnneeEnCours!$F$4</c:f>
              <c:strCache>
                <c:ptCount val="1"/>
                <c:pt idx="0">
                  <c:v>Mai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AnneeEnCours!$F$5:$F$7</c:f>
              <c:numCache>
                <c:formatCode>_ * #\ ##0_)\ "$"_ ;_ * \(#\ ##0\)\ "$"_ ;_ * "-"??_)\ "$"_ ;_ @_ </c:formatCode>
                <c:ptCount val="3"/>
                <c:pt idx="0">
                  <c:v>19877</c:v>
                </c:pt>
                <c:pt idx="1">
                  <c:v>28550</c:v>
                </c:pt>
                <c:pt idx="2">
                  <c:v>8550</c:v>
                </c:pt>
              </c:numCache>
            </c:numRef>
          </c:val>
        </c:ser>
        <c:ser>
          <c:idx val="5"/>
          <c:order val="5"/>
          <c:tx>
            <c:strRef>
              <c:f>AnneeEnCours!$G$4</c:f>
              <c:strCache>
                <c:ptCount val="1"/>
                <c:pt idx="0">
                  <c:v>Juin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AnneeEnCours!$G$5:$G$7</c:f>
              <c:numCache>
                <c:formatCode>_ * #\ ##0_)\ "$"_ ;_ * \(#\ ##0\)\ "$"_ ;_ * "-"??_)\ "$"_ ;_ @_ </c:formatCode>
                <c:ptCount val="3"/>
                <c:pt idx="0">
                  <c:v>18770</c:v>
                </c:pt>
                <c:pt idx="1">
                  <c:v>29217</c:v>
                </c:pt>
                <c:pt idx="2">
                  <c:v>8245</c:v>
                </c:pt>
              </c:numCache>
            </c:numRef>
          </c:val>
        </c:ser>
        <c:ser>
          <c:idx val="6"/>
          <c:order val="6"/>
          <c:tx>
            <c:strRef>
              <c:f>AnneeEnCours!$H$4</c:f>
              <c:strCache>
                <c:ptCount val="1"/>
                <c:pt idx="0">
                  <c:v>Juillet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AnneeEnCours!$H$5:$H$7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7"/>
          <c:order val="7"/>
          <c:tx>
            <c:strRef>
              <c:f>AnneeEnCours!$I$4</c:f>
              <c:strCache>
                <c:ptCount val="1"/>
                <c:pt idx="0">
                  <c:v>Août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AnneeEnCours!$I$5:$I$7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8"/>
          <c:order val="8"/>
          <c:tx>
            <c:strRef>
              <c:f>AnneeEnCours!$J$4</c:f>
              <c:strCache>
                <c:ptCount val="1"/>
                <c:pt idx="0">
                  <c:v>Septembre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AnneeEnCours!$J$5:$J$7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9"/>
          <c:order val="9"/>
          <c:tx>
            <c:strRef>
              <c:f>AnneeEnCours!$K$4</c:f>
              <c:strCache>
                <c:ptCount val="1"/>
                <c:pt idx="0">
                  <c:v>Octobre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AnneeEnCours!$K$5:$K$7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0"/>
          <c:order val="10"/>
          <c:tx>
            <c:strRef>
              <c:f>AnneeEnCours!$L$4</c:f>
              <c:strCache>
                <c:ptCount val="1"/>
                <c:pt idx="0">
                  <c:v>Novembre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AnneeEnCours!$L$5:$L$7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ser>
          <c:idx val="11"/>
          <c:order val="11"/>
          <c:tx>
            <c:strRef>
              <c:f>AnneeEnCours!$M$4</c:f>
              <c:strCache>
                <c:ptCount val="1"/>
                <c:pt idx="0">
                  <c:v>Décembre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AnneeEnCours!$M$5:$M$7</c:f>
              <c:numCache>
                <c:formatCode>_ * #\ ##0_)\ "$"_ ;_ * \(#\ ##0\)\ "$"_ ;_ * "-"??_)\ "$"_ ;_ @_ 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1529176"/>
        <c:axId val="301187120"/>
      </c:barChart>
      <c:lineChart>
        <c:grouping val="standard"/>
        <c:varyColors val="0"/>
        <c:ser>
          <c:idx val="12"/>
          <c:order val="12"/>
          <c:tx>
            <c:strRef>
              <c:f>AnneeEnCours!$N$4</c:f>
              <c:strCache>
                <c:ptCount val="1"/>
                <c:pt idx="0">
                  <c:v>Total</c:v>
                </c:pt>
              </c:strCache>
            </c:strRef>
          </c:tx>
          <c:spPr>
            <a:ln w="34925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AnneeEnCours!$A$5:$A$7</c:f>
              <c:strCache>
                <c:ptCount val="3"/>
                <c:pt idx="0">
                  <c:v>Dépt 1</c:v>
                </c:pt>
                <c:pt idx="1">
                  <c:v>Dépt 2</c:v>
                </c:pt>
                <c:pt idx="2">
                  <c:v>Dépt 3</c:v>
                </c:pt>
              </c:strCache>
            </c:strRef>
          </c:cat>
          <c:val>
            <c:numRef>
              <c:f>AnneeEnCours!$N$5:$N$7</c:f>
              <c:numCache>
                <c:formatCode>_("$"* #,##0_);_("$"* \(#,##0\);_("$"* "-"_);_(@_)</c:formatCode>
                <c:ptCount val="3"/>
                <c:pt idx="0">
                  <c:v>96361</c:v>
                </c:pt>
                <c:pt idx="1">
                  <c:v>139118.20000000001</c:v>
                </c:pt>
                <c:pt idx="2">
                  <c:v>55550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187904"/>
        <c:axId val="301187512"/>
      </c:lineChart>
      <c:catAx>
        <c:axId val="381529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1187120"/>
        <c:crosses val="autoZero"/>
        <c:auto val="1"/>
        <c:lblAlgn val="ctr"/>
        <c:lblOffset val="100"/>
        <c:noMultiLvlLbl val="0"/>
      </c:catAx>
      <c:valAx>
        <c:axId val="30118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1529176"/>
        <c:crosses val="autoZero"/>
        <c:crossBetween val="between"/>
      </c:valAx>
      <c:valAx>
        <c:axId val="301187512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301187904"/>
        <c:crosses val="max"/>
        <c:crossBetween val="between"/>
      </c:valAx>
      <c:catAx>
        <c:axId val="301187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1187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gradFill flip="none" rotWithShape="1">
                <a:gsLst>
                  <a:gs pos="0">
                    <a:schemeClr val="accent3">
                      <a:lumMod val="50000"/>
                      <a:lumOff val="50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lin ang="0" scaled="1"/>
                <a:tileRect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0000">
                      <a:lumMod val="50000"/>
                      <a:lumOff val="50000"/>
                    </a:srgbClr>
                  </a:gs>
                  <a:gs pos="69000">
                    <a:srgbClr val="FF0000"/>
                  </a:gs>
                  <a:gs pos="97000">
                    <a:srgbClr val="FF0000"/>
                  </a:gs>
                </a:gsLst>
                <a:lin ang="2700000" scaled="1"/>
                <a:tileRect/>
              </a:gra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Graphs!$C$29:$C$31</c:f>
              <c:numCache>
                <c:formatCode>0.0%</c:formatCode>
                <c:ptCount val="3"/>
                <c:pt idx="0">
                  <c:v>0.4692524957389822</c:v>
                </c:pt>
                <c:pt idx="1">
                  <c:v>0.5307475042610178</c:v>
                </c:pt>
                <c:pt idx="2" formatCode="0%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gradFill flip="none" rotWithShape="1">
                <a:gsLst>
                  <a:gs pos="0">
                    <a:schemeClr val="accent3">
                      <a:lumMod val="50000"/>
                      <a:lumOff val="50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lin ang="0" scaled="1"/>
                <a:tileRect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0000">
                      <a:lumMod val="50000"/>
                      <a:lumOff val="50000"/>
                    </a:srgbClr>
                  </a:gs>
                  <a:gs pos="69000">
                    <a:srgbClr val="FF0000"/>
                  </a:gs>
                  <a:gs pos="97000">
                    <a:srgbClr val="FF0000"/>
                  </a:gs>
                </a:gsLst>
                <a:lin ang="2700000" scaled="1"/>
                <a:tileRect/>
              </a:gra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Graphs!$D$29:$D$31</c:f>
              <c:numCache>
                <c:formatCode>0.0%</c:formatCode>
                <c:ptCount val="3"/>
                <c:pt idx="0">
                  <c:v>0.76818442849254565</c:v>
                </c:pt>
                <c:pt idx="1">
                  <c:v>0.23181557150745435</c:v>
                </c:pt>
                <c:pt idx="2" formatCode="0%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gradFill flip="none" rotWithShape="1">
                <a:gsLst>
                  <a:gs pos="0">
                    <a:schemeClr val="accent3">
                      <a:lumMod val="50000"/>
                      <a:lumOff val="50000"/>
                    </a:schemeClr>
                  </a:gs>
                  <a:gs pos="69000">
                    <a:schemeClr val="accent3">
                      <a:lumMod val="75000"/>
                    </a:schemeClr>
                  </a:gs>
                  <a:gs pos="97000">
                    <a:schemeClr val="accent3">
                      <a:lumMod val="70000"/>
                    </a:schemeClr>
                  </a:gs>
                </a:gsLst>
                <a:lin ang="0" scaled="1"/>
                <a:tileRect/>
              </a:gradFill>
              <a:ln w="19050">
                <a:noFill/>
              </a:ln>
              <a:effectLst/>
            </c:spPr>
          </c:dPt>
          <c:dPt>
            <c:idx val="1"/>
            <c:bubble3D val="0"/>
            <c:spPr>
              <a:gradFill flip="none" rotWithShape="1">
                <a:gsLst>
                  <a:gs pos="0">
                    <a:srgbClr val="FF0000">
                      <a:lumMod val="50000"/>
                      <a:lumOff val="50000"/>
                    </a:srgbClr>
                  </a:gs>
                  <a:gs pos="69000">
                    <a:srgbClr val="FF0000"/>
                  </a:gs>
                  <a:gs pos="97000">
                    <a:srgbClr val="FF0000"/>
                  </a:gs>
                </a:gsLst>
                <a:lin ang="2700000" scaled="1"/>
                <a:tileRect/>
              </a:gradFill>
              <a:ln w="19050">
                <a:noFill/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val>
            <c:numRef>
              <c:f>Graphs!$E$29:$E$31</c:f>
              <c:numCache>
                <c:formatCode>0.0%</c:formatCode>
                <c:ptCount val="3"/>
                <c:pt idx="0">
                  <c:v>0.52159624413145544</c:v>
                </c:pt>
                <c:pt idx="1">
                  <c:v>0.47840375586854456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6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188688"/>
        <c:axId val="301189080"/>
      </c:barChart>
      <c:catAx>
        <c:axId val="30118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1189080"/>
        <c:crosses val="autoZero"/>
        <c:auto val="1"/>
        <c:lblAlgn val="ctr"/>
        <c:lblOffset val="100"/>
        <c:noMultiLvlLbl val="0"/>
      </c:catAx>
      <c:valAx>
        <c:axId val="30118908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118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189864"/>
        <c:axId val="301190256"/>
      </c:barChart>
      <c:catAx>
        <c:axId val="301189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1190256"/>
        <c:crosses val="autoZero"/>
        <c:auto val="1"/>
        <c:lblAlgn val="ctr"/>
        <c:lblOffset val="100"/>
        <c:noMultiLvlLbl val="0"/>
      </c:catAx>
      <c:valAx>
        <c:axId val="30119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1189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02138296"/>
        <c:axId val="302138688"/>
      </c:barChart>
      <c:catAx>
        <c:axId val="302138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138688"/>
        <c:crosses val="autoZero"/>
        <c:auto val="1"/>
        <c:lblAlgn val="ctr"/>
        <c:lblOffset val="100"/>
        <c:noMultiLvlLbl val="0"/>
      </c:catAx>
      <c:valAx>
        <c:axId val="30213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138296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02139472"/>
        <c:axId val="302139864"/>
      </c:barChart>
      <c:catAx>
        <c:axId val="30213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139864"/>
        <c:crosses val="autoZero"/>
        <c:auto val="1"/>
        <c:lblAlgn val="ctr"/>
        <c:lblOffset val="100"/>
        <c:noMultiLvlLbl val="0"/>
      </c:catAx>
      <c:valAx>
        <c:axId val="302139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139472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02140648"/>
        <c:axId val="302141040"/>
      </c:barChart>
      <c:catAx>
        <c:axId val="302140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141040"/>
        <c:crosses val="autoZero"/>
        <c:auto val="1"/>
        <c:lblAlgn val="ctr"/>
        <c:lblOffset val="100"/>
        <c:noMultiLvlLbl val="0"/>
      </c:catAx>
      <c:valAx>
        <c:axId val="30214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140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12005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19068</c:v>
                </c:pt>
                <c:pt idx="1">
                  <c:v>19804.21</c:v>
                </c:pt>
                <c:pt idx="2">
                  <c:v>20316.990000000002</c:v>
                </c:pt>
                <c:pt idx="3">
                  <c:v>22162</c:v>
                </c:pt>
                <c:pt idx="4">
                  <c:v>28550</c:v>
                </c:pt>
                <c:pt idx="5">
                  <c:v>29217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9505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141824"/>
        <c:axId val="380211656"/>
      </c:lineChart>
      <c:catAx>
        <c:axId val="30214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211656"/>
        <c:crosses val="autoZero"/>
        <c:auto val="1"/>
        <c:lblAlgn val="ctr"/>
        <c:lblOffset val="100"/>
        <c:noMultiLvlLbl val="0"/>
      </c:catAx>
      <c:valAx>
        <c:axId val="380211656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141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0212440"/>
        <c:axId val="380212832"/>
      </c:barChart>
      <c:catAx>
        <c:axId val="380212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212832"/>
        <c:crosses val="autoZero"/>
        <c:auto val="1"/>
        <c:lblAlgn val="ctr"/>
        <c:lblOffset val="100"/>
        <c:noMultiLvlLbl val="0"/>
      </c:catAx>
      <c:valAx>
        <c:axId val="380212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212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17575.54</c:v>
                </c:pt>
                <c:pt idx="1">
                  <c:v>22411</c:v>
                </c:pt>
                <c:pt idx="2">
                  <c:v>27660</c:v>
                </c:pt>
                <c:pt idx="3">
                  <c:v>21902.17</c:v>
                </c:pt>
                <c:pt idx="4">
                  <c:v>20438</c:v>
                </c:pt>
                <c:pt idx="5">
                  <c:v>24510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0213616"/>
        <c:axId val="380214008"/>
      </c:lineChart>
      <c:catAx>
        <c:axId val="38021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214008"/>
        <c:crosses val="autoZero"/>
        <c:auto val="1"/>
        <c:lblAlgn val="ctr"/>
        <c:lblOffset val="100"/>
        <c:noMultiLvlLbl val="0"/>
      </c:catAx>
      <c:valAx>
        <c:axId val="380214008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21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7" Type="http://schemas.openxmlformats.org/officeDocument/2006/relationships/image" Target="../media/image6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5.emf"/><Relationship Id="rId5" Type="http://schemas.openxmlformats.org/officeDocument/2006/relationships/image" Target="../media/image4.emf"/><Relationship Id="rId4" Type="http://schemas.openxmlformats.org/officeDocument/2006/relationships/image" Target="../media/image3.tmp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104775</xdr:colOff>
          <xdr:row>3</xdr:row>
          <xdr:rowOff>19050</xdr:rowOff>
        </xdr:from>
        <xdr:to>
          <xdr:col>18</xdr:col>
          <xdr:colOff>704850</xdr:colOff>
          <xdr:row>8</xdr:row>
          <xdr:rowOff>180975</xdr:rowOff>
        </xdr:to>
        <xdr:pic>
          <xdr:nvPicPr>
            <xdr:cNvPr id="3" name="ImageAnEncours"/>
            <xdr:cNvPicPr>
              <a:picLocks noChangeAspect="1"/>
              <a:extLst>
                <a:ext uri="{84589F7E-364E-4C9E-8A38-B11213B215E9}">
                  <a14:cameraTool cellRange="I_Graph1" spid="_x0000_s7391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11391900" y="36195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</xdr:row>
          <xdr:rowOff>38100</xdr:rowOff>
        </xdr:from>
        <xdr:to>
          <xdr:col>19</xdr:col>
          <xdr:colOff>0</xdr:colOff>
          <xdr:row>18</xdr:row>
          <xdr:rowOff>180975</xdr:rowOff>
        </xdr:to>
        <xdr:pic>
          <xdr:nvPicPr>
            <xdr:cNvPr id="5" name="ImageAnPrecedente"/>
            <xdr:cNvPicPr>
              <a:picLocks noChangeAspect="1"/>
              <a:extLst>
                <a:ext uri="{84589F7E-364E-4C9E-8A38-B11213B215E9}">
                  <a14:cameraTool cellRange="I_Graph2" spid="_x0000_s7392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1401425" y="2209800"/>
              <a:ext cx="2857500" cy="1800225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15</xdr:col>
      <xdr:colOff>9525</xdr:colOff>
      <xdr:row>20</xdr:row>
      <xdr:rowOff>19049</xdr:rowOff>
    </xdr:from>
    <xdr:to>
      <xdr:col>18</xdr:col>
      <xdr:colOff>710400</xdr:colOff>
      <xdr:row>30</xdr:row>
      <xdr:rowOff>95024</xdr:rowOff>
    </xdr:to>
    <xdr:graphicFrame macro="">
      <xdr:nvGraphicFramePr>
        <xdr:cNvPr id="6" name="GraphTotauxDep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19</xdr:col>
      <xdr:colOff>47625</xdr:colOff>
      <xdr:row>5</xdr:row>
      <xdr:rowOff>371475</xdr:rowOff>
    </xdr:from>
    <xdr:to>
      <xdr:col>20</xdr:col>
      <xdr:colOff>133350</xdr:colOff>
      <xdr:row>15</xdr:row>
      <xdr:rowOff>9525</xdr:rowOff>
    </xdr:to>
    <xdr:pic>
      <xdr:nvPicPr>
        <xdr:cNvPr id="15" name="Légende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3306425" y="2066925"/>
          <a:ext cx="2200275" cy="2000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19049</xdr:rowOff>
    </xdr:from>
    <xdr:to>
      <xdr:col>2</xdr:col>
      <xdr:colOff>295274</xdr:colOff>
      <xdr:row>29</xdr:row>
      <xdr:rowOff>66674</xdr:rowOff>
    </xdr:to>
    <xdr:sp macro="" textlink="">
      <xdr:nvSpPr>
        <xdr:cNvPr id="16" name="Cadre1"/>
        <xdr:cNvSpPr/>
      </xdr:nvSpPr>
      <xdr:spPr>
        <a:xfrm>
          <a:off x="0" y="4743449"/>
          <a:ext cx="2124074" cy="1209675"/>
        </a:xfrm>
        <a:prstGeom prst="fram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2000" b="0" i="0" u="none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3</xdr:col>
      <xdr:colOff>1114425</xdr:colOff>
      <xdr:row>23</xdr:row>
      <xdr:rowOff>19049</xdr:rowOff>
    </xdr:from>
    <xdr:to>
      <xdr:col>5</xdr:col>
      <xdr:colOff>142874</xdr:colOff>
      <xdr:row>29</xdr:row>
      <xdr:rowOff>66674</xdr:rowOff>
    </xdr:to>
    <xdr:sp macro="" textlink="">
      <xdr:nvSpPr>
        <xdr:cNvPr id="17" name="Cadre2"/>
        <xdr:cNvSpPr/>
      </xdr:nvSpPr>
      <xdr:spPr>
        <a:xfrm>
          <a:off x="4686300" y="4743449"/>
          <a:ext cx="2124074" cy="1209675"/>
        </a:xfrm>
        <a:prstGeom prst="fram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200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514350</xdr:colOff>
      <xdr:row>23</xdr:row>
      <xdr:rowOff>19049</xdr:rowOff>
    </xdr:from>
    <xdr:to>
      <xdr:col>3</xdr:col>
      <xdr:colOff>895349</xdr:colOff>
      <xdr:row>29</xdr:row>
      <xdr:rowOff>66674</xdr:rowOff>
    </xdr:to>
    <xdr:sp macro="" textlink="">
      <xdr:nvSpPr>
        <xdr:cNvPr id="18" name="Cadre3"/>
        <xdr:cNvSpPr/>
      </xdr:nvSpPr>
      <xdr:spPr>
        <a:xfrm>
          <a:off x="2343150" y="4743449"/>
          <a:ext cx="2124074" cy="1209675"/>
        </a:xfrm>
        <a:prstGeom prst="frame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2000" b="0" i="0" u="none" strike="noStrike">
            <a:solidFill>
              <a:srgbClr val="000000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9524</xdr:colOff>
      <xdr:row>22</xdr:row>
      <xdr:rowOff>0</xdr:rowOff>
    </xdr:from>
    <xdr:to>
      <xdr:col>2</xdr:col>
      <xdr:colOff>304724</xdr:colOff>
      <xdr:row>22</xdr:row>
      <xdr:rowOff>180975</xdr:rowOff>
    </xdr:to>
    <xdr:sp macro="" textlink="">
      <xdr:nvSpPr>
        <xdr:cNvPr id="19" name="Rectangle1"/>
        <xdr:cNvSpPr/>
      </xdr:nvSpPr>
      <xdr:spPr>
        <a:xfrm>
          <a:off x="9524" y="4524375"/>
          <a:ext cx="2124000" cy="180975"/>
        </a:xfrm>
        <a:prstGeom prst="rect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 i="1"/>
            <a:t>DEPT 1</a:t>
          </a:r>
        </a:p>
      </xdr:txBody>
    </xdr:sp>
    <xdr:clientData/>
  </xdr:twoCellAnchor>
  <xdr:twoCellAnchor>
    <xdr:from>
      <xdr:col>2</xdr:col>
      <xdr:colOff>514349</xdr:colOff>
      <xdr:row>22</xdr:row>
      <xdr:rowOff>0</xdr:rowOff>
    </xdr:from>
    <xdr:to>
      <xdr:col>3</xdr:col>
      <xdr:colOff>895274</xdr:colOff>
      <xdr:row>22</xdr:row>
      <xdr:rowOff>180975</xdr:rowOff>
    </xdr:to>
    <xdr:sp macro="" textlink="">
      <xdr:nvSpPr>
        <xdr:cNvPr id="20" name="Rectangle2"/>
        <xdr:cNvSpPr/>
      </xdr:nvSpPr>
      <xdr:spPr>
        <a:xfrm>
          <a:off x="2343149" y="4524375"/>
          <a:ext cx="2124000" cy="180975"/>
        </a:xfrm>
        <a:prstGeom prst="rect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 i="1"/>
            <a:t>DEPT 2</a:t>
          </a:r>
        </a:p>
      </xdr:txBody>
    </xdr:sp>
    <xdr:clientData/>
  </xdr:twoCellAnchor>
  <xdr:twoCellAnchor>
    <xdr:from>
      <xdr:col>3</xdr:col>
      <xdr:colOff>1104899</xdr:colOff>
      <xdr:row>22</xdr:row>
      <xdr:rowOff>0</xdr:rowOff>
    </xdr:from>
    <xdr:to>
      <xdr:col>5</xdr:col>
      <xdr:colOff>133274</xdr:colOff>
      <xdr:row>22</xdr:row>
      <xdr:rowOff>180975</xdr:rowOff>
    </xdr:to>
    <xdr:sp macro="" textlink="">
      <xdr:nvSpPr>
        <xdr:cNvPr id="21" name="Rectangle3"/>
        <xdr:cNvSpPr/>
      </xdr:nvSpPr>
      <xdr:spPr>
        <a:xfrm>
          <a:off x="4676774" y="4524375"/>
          <a:ext cx="2124000" cy="180975"/>
        </a:xfrm>
        <a:prstGeom prst="rect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 i="1"/>
            <a:t>DEPT 3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</xdr:colOff>
          <xdr:row>10</xdr:row>
          <xdr:rowOff>19050</xdr:rowOff>
        </xdr:from>
        <xdr:to>
          <xdr:col>2</xdr:col>
          <xdr:colOff>506036</xdr:colOff>
          <xdr:row>17</xdr:row>
          <xdr:rowOff>146700</xdr:rowOff>
        </xdr:to>
        <xdr:pic>
          <xdr:nvPicPr>
            <xdr:cNvPr id="23" name="Image 22"/>
            <xdr:cNvPicPr>
              <a:picLocks noChangeAspect="1" noChangeArrowheads="1"/>
              <a:extLst>
                <a:ext uri="{84589F7E-364E-4C9E-8A38-B11213B215E9}">
                  <a14:cameraTool cellRange="Graphs!$H$26:$K$34" spid="_x0000_s739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" y="2381250"/>
              <a:ext cx="2334832" cy="1404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490542</xdr:colOff>
          <xdr:row>10</xdr:row>
          <xdr:rowOff>19050</xdr:rowOff>
        </xdr:from>
        <xdr:to>
          <xdr:col>3</xdr:col>
          <xdr:colOff>1082299</xdr:colOff>
          <xdr:row>17</xdr:row>
          <xdr:rowOff>146700</xdr:rowOff>
        </xdr:to>
        <xdr:pic>
          <xdr:nvPicPr>
            <xdr:cNvPr id="24" name="Image 23"/>
            <xdr:cNvPicPr>
              <a:picLocks noChangeAspect="1" noChangeArrowheads="1"/>
              <a:extLst>
                <a:ext uri="{84589F7E-364E-4C9E-8A38-B11213B215E9}">
                  <a14:cameraTool cellRange="Graphs!$O$26:$R$34" spid="_x0000_s739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319342" y="2381250"/>
              <a:ext cx="2334832" cy="1404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1066804</xdr:colOff>
          <xdr:row>10</xdr:row>
          <xdr:rowOff>19050</xdr:rowOff>
        </xdr:from>
        <xdr:to>
          <xdr:col>5</xdr:col>
          <xdr:colOff>306011</xdr:colOff>
          <xdr:row>17</xdr:row>
          <xdr:rowOff>146700</xdr:rowOff>
        </xdr:to>
        <xdr:pic>
          <xdr:nvPicPr>
            <xdr:cNvPr id="25" name="Image 24"/>
            <xdr:cNvPicPr>
              <a:picLocks noChangeAspect="1" noChangeArrowheads="1"/>
              <a:extLst>
                <a:ext uri="{84589F7E-364E-4C9E-8A38-B11213B215E9}">
                  <a14:cameraTool cellRange="Graphs!$H$41:$K$49" spid="_x0000_s7395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4638679" y="2381250"/>
              <a:ext cx="2334832" cy="1404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22500</xdr:colOff>
      <xdr:row>10</xdr:row>
      <xdr:rowOff>276000</xdr:rowOff>
    </xdr:to>
    <xdr:graphicFrame macro="">
      <xdr:nvGraphicFramePr>
        <xdr:cNvPr id="2" name="GraphAnHist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14</xdr:row>
      <xdr:rowOff>4762</xdr:rowOff>
    </xdr:from>
    <xdr:to>
      <xdr:col>4</xdr:col>
      <xdr:colOff>22500</xdr:colOff>
      <xdr:row>23</xdr:row>
      <xdr:rowOff>4537</xdr:rowOff>
    </xdr:to>
    <xdr:graphicFrame macro="">
      <xdr:nvGraphicFramePr>
        <xdr:cNvPr id="5" name="GraphAnPHist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An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14</xdr:row>
      <xdr:rowOff>1</xdr:rowOff>
    </xdr:from>
    <xdr:to>
      <xdr:col>9</xdr:col>
      <xdr:colOff>22500</xdr:colOff>
      <xdr:row>22</xdr:row>
      <xdr:rowOff>276001</xdr:rowOff>
    </xdr:to>
    <xdr:graphicFrame macro="">
      <xdr:nvGraphicFramePr>
        <xdr:cNvPr id="8" name="GraphAnPHistoEmpi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14</xdr:col>
      <xdr:colOff>22500</xdr:colOff>
      <xdr:row>10</xdr:row>
      <xdr:rowOff>276000</xdr:rowOff>
    </xdr:to>
    <xdr:graphicFrame macro="">
      <xdr:nvGraphicFramePr>
        <xdr:cNvPr id="12" name="GraphAn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19</xdr:col>
      <xdr:colOff>22500</xdr:colOff>
      <xdr:row>10</xdr:row>
      <xdr:rowOff>276000</xdr:rowOff>
    </xdr:to>
    <xdr:graphicFrame macro="">
      <xdr:nvGraphicFramePr>
        <xdr:cNvPr id="13" name="GraphAn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14</xdr:col>
      <xdr:colOff>22500</xdr:colOff>
      <xdr:row>23</xdr:row>
      <xdr:rowOff>0</xdr:rowOff>
    </xdr:to>
    <xdr:graphicFrame macro="">
      <xdr:nvGraphicFramePr>
        <xdr:cNvPr id="14" name="GraphAnPBarr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14</xdr:row>
      <xdr:rowOff>1</xdr:rowOff>
    </xdr:from>
    <xdr:to>
      <xdr:col>19</xdr:col>
      <xdr:colOff>22500</xdr:colOff>
      <xdr:row>22</xdr:row>
      <xdr:rowOff>276001</xdr:rowOff>
    </xdr:to>
    <xdr:graphicFrame macro="">
      <xdr:nvGraphicFramePr>
        <xdr:cNvPr id="15" name="GraphAnP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606136</xdr:colOff>
      <xdr:row>24</xdr:row>
      <xdr:rowOff>155864</xdr:rowOff>
    </xdr:from>
    <xdr:to>
      <xdr:col>12</xdr:col>
      <xdr:colOff>147204</xdr:colOff>
      <xdr:row>39</xdr:row>
      <xdr:rowOff>41564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632114</xdr:colOff>
      <xdr:row>24</xdr:row>
      <xdr:rowOff>157595</xdr:rowOff>
    </xdr:from>
    <xdr:to>
      <xdr:col>19</xdr:col>
      <xdr:colOff>173183</xdr:colOff>
      <xdr:row>39</xdr:row>
      <xdr:rowOff>43295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623454</xdr:colOff>
      <xdr:row>39</xdr:row>
      <xdr:rowOff>181841</xdr:rowOff>
    </xdr:from>
    <xdr:to>
      <xdr:col>12</xdr:col>
      <xdr:colOff>164522</xdr:colOff>
      <xdr:row>54</xdr:row>
      <xdr:rowOff>67541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0.375</cdr:x>
      <cdr:y>0.2399</cdr:y>
    </cdr:from>
    <cdr:to>
      <cdr:x>0.62121</cdr:x>
      <cdr:y>0.68609</cdr:y>
    </cdr:to>
    <cdr:sp macro="" textlink="Graphs!$C$29">
      <cdr:nvSpPr>
        <cdr:cNvPr id="2" name="Ellipse 1"/>
        <cdr:cNvSpPr/>
      </cdr:nvSpPr>
      <cdr:spPr>
        <a:xfrm xmlns:a="http://schemas.openxmlformats.org/drawingml/2006/main">
          <a:off x="1714500" y="658093"/>
          <a:ext cx="1125672" cy="12240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87C28FC7-254B-46F0-A3EB-6F6B1944D324}" type="TxLink">
            <a:rPr lang="en-US" sz="2000" b="1" i="0" u="none" strike="noStrike">
              <a:solidFill>
                <a:srgbClr val="000000"/>
              </a:solidFill>
              <a:latin typeface="Calibri"/>
            </a:rPr>
            <a:pPr algn="ctr"/>
            <a:t>46,9%</a:t>
          </a:fld>
          <a:endParaRPr lang="en-US" sz="20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0.375</cdr:x>
      <cdr:y>0.2399</cdr:y>
    </cdr:from>
    <cdr:to>
      <cdr:x>0.62121</cdr:x>
      <cdr:y>0.68609</cdr:y>
    </cdr:to>
    <cdr:sp macro="" textlink="Graphs!$D$29">
      <cdr:nvSpPr>
        <cdr:cNvPr id="2" name="Ellipse 1"/>
        <cdr:cNvSpPr/>
      </cdr:nvSpPr>
      <cdr:spPr>
        <a:xfrm xmlns:a="http://schemas.openxmlformats.org/drawingml/2006/main">
          <a:off x="1714500" y="658093"/>
          <a:ext cx="1125672" cy="12240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DFAAACF4-D69C-44E7-AA63-82A1D2B29205}" type="TxLink">
            <a:rPr lang="en-US" sz="2000" b="0" i="0" u="none" strike="noStrike">
              <a:solidFill>
                <a:srgbClr val="000000"/>
              </a:solidFill>
              <a:latin typeface="Calibri"/>
            </a:rPr>
            <a:pPr algn="ctr"/>
            <a:t>76,8%</a:t>
          </a:fld>
          <a:endParaRPr lang="fr-FR" sz="20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0.375</cdr:x>
      <cdr:y>0.2399</cdr:y>
    </cdr:from>
    <cdr:to>
      <cdr:x>0.62121</cdr:x>
      <cdr:y>0.68609</cdr:y>
    </cdr:to>
    <cdr:sp macro="" textlink="Graphs!$E$29">
      <cdr:nvSpPr>
        <cdr:cNvPr id="2" name="Ellipse 1"/>
        <cdr:cNvSpPr/>
      </cdr:nvSpPr>
      <cdr:spPr>
        <a:xfrm xmlns:a="http://schemas.openxmlformats.org/drawingml/2006/main">
          <a:off x="1714500" y="658094"/>
          <a:ext cx="1125672" cy="12240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0" tIns="0" rIns="0" bIns="0" anchor="ctr"/>
        <a:lstStyle xmlns:a="http://schemas.openxmlformats.org/drawingml/2006/main"/>
        <a:p xmlns:a="http://schemas.openxmlformats.org/drawingml/2006/main">
          <a:pPr algn="ctr"/>
          <a:fld id="{4D503A6C-4BDF-490A-A02A-45184227220B}" type="TxLink">
            <a:rPr lang="en-US" sz="2000" b="0" i="0" u="none" strike="noStrike">
              <a:solidFill>
                <a:srgbClr val="000000"/>
              </a:solidFill>
              <a:latin typeface="Calibri"/>
            </a:rPr>
            <a:pPr algn="ctr"/>
            <a:t>52,2%</a:t>
          </a:fld>
          <a:endParaRPr lang="fr-FR" sz="2000" b="1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ebcal.fi/fr-CA/jours_feries.php?y=2016" TargetMode="External"/><Relationship Id="rId2" Type="http://schemas.openxmlformats.org/officeDocument/2006/relationships/hyperlink" Target="http://www.ccq.org/M07_CongeVacances.aspx?sc_lang=fr-CA&amp;profil=Travailleur" TargetMode="External"/><Relationship Id="rId1" Type="http://schemas.openxmlformats.org/officeDocument/2006/relationships/hyperlink" Target="http://www.ccq.org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abSelected="1" zoomScaleNormal="100" workbookViewId="0">
      <selection activeCell="B34" sqref="B34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8" width="6.7109375" customWidth="1"/>
    <col min="9" max="10" width="12.7109375" customWidth="1"/>
    <col min="11" max="11" width="11.570312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6" s="35" customFormat="1" ht="3.95" customHeight="1" x14ac:dyDescent="0.25">
      <c r="A1" s="9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95"/>
      <c r="O1" s="95"/>
      <c r="P1" s="95"/>
      <c r="Q1" s="95"/>
      <c r="R1" s="95"/>
      <c r="S1" s="84"/>
      <c r="T1" s="84"/>
      <c r="U1" s="85"/>
    </row>
    <row r="2" spans="1:26" ht="20.100000000000001" customHeight="1" x14ac:dyDescent="0.3">
      <c r="A2" s="91"/>
      <c r="B2" s="57" t="s">
        <v>205</v>
      </c>
      <c r="C2" s="83" t="s">
        <v>12</v>
      </c>
      <c r="D2" s="61" t="s">
        <v>206</v>
      </c>
      <c r="E2" s="83" t="s">
        <v>5</v>
      </c>
      <c r="F2" s="55"/>
      <c r="G2" s="57"/>
      <c r="H2" s="57"/>
      <c r="I2" s="57"/>
      <c r="J2" s="57"/>
      <c r="K2" s="57"/>
      <c r="L2" s="57"/>
      <c r="M2" s="57"/>
      <c r="N2" s="96" t="s">
        <v>207</v>
      </c>
      <c r="O2" s="96"/>
      <c r="P2" s="161" t="s">
        <v>177</v>
      </c>
      <c r="Q2" s="161"/>
      <c r="R2" s="161"/>
      <c r="S2" s="161"/>
      <c r="T2" s="57"/>
      <c r="U2" s="87"/>
      <c r="V2" s="35"/>
      <c r="W2" s="35"/>
      <c r="X2" s="35"/>
      <c r="Y2" s="35"/>
      <c r="Z2" s="35"/>
    </row>
    <row r="3" spans="1:26" ht="3.95" customHeight="1" x14ac:dyDescent="0.35">
      <c r="A3" s="92"/>
      <c r="B3" s="93"/>
      <c r="C3" s="97"/>
      <c r="D3" s="93"/>
      <c r="E3" s="97"/>
      <c r="F3" s="97"/>
      <c r="G3" s="93"/>
      <c r="H3" s="93"/>
      <c r="I3" s="98"/>
      <c r="J3" s="99"/>
      <c r="K3" s="100"/>
      <c r="L3" s="100"/>
      <c r="M3" s="101"/>
      <c r="N3" s="98"/>
      <c r="O3" s="98"/>
      <c r="P3" s="102"/>
      <c r="Q3" s="102"/>
      <c r="R3" s="102"/>
      <c r="S3" s="93"/>
      <c r="T3" s="93"/>
      <c r="U3" s="90"/>
      <c r="V3" s="35"/>
      <c r="W3" s="35"/>
      <c r="X3" s="35"/>
      <c r="Y3" s="35"/>
      <c r="Z3" s="35"/>
    </row>
    <row r="4" spans="1:26" ht="9.9499999999999993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56"/>
      <c r="M4" s="164" t="s">
        <v>174</v>
      </c>
      <c r="N4" s="162" t="s">
        <v>130</v>
      </c>
      <c r="O4" s="86"/>
      <c r="P4" s="57"/>
      <c r="Q4" s="57"/>
      <c r="R4" s="57"/>
      <c r="S4" s="57"/>
      <c r="T4" s="57"/>
      <c r="U4" s="87"/>
      <c r="V4" s="35"/>
      <c r="W4" s="35"/>
      <c r="X4" s="35"/>
      <c r="Y4" s="35"/>
      <c r="Z4" s="35"/>
    </row>
    <row r="5" spans="1:26" ht="18" customHeight="1" x14ac:dyDescent="0.25">
      <c r="A5" s="94"/>
      <c r="B5" s="84"/>
      <c r="C5" s="103" t="s">
        <v>208</v>
      </c>
      <c r="D5" s="103" t="s">
        <v>209</v>
      </c>
      <c r="E5" s="103" t="s">
        <v>210</v>
      </c>
      <c r="F5" s="85"/>
      <c r="G5" s="35"/>
      <c r="H5" s="178" t="s">
        <v>130</v>
      </c>
      <c r="I5" s="179"/>
      <c r="J5" s="179" t="s">
        <v>175</v>
      </c>
      <c r="K5" s="180"/>
      <c r="L5" s="35"/>
      <c r="M5" s="164"/>
      <c r="N5" s="162"/>
      <c r="O5" s="86"/>
      <c r="P5" s="57"/>
      <c r="Q5" s="57"/>
      <c r="R5" s="57"/>
      <c r="S5" s="57"/>
      <c r="T5" s="57"/>
      <c r="U5" s="87"/>
      <c r="V5" s="35"/>
      <c r="W5" s="35"/>
      <c r="X5" s="35"/>
      <c r="Y5" s="35"/>
      <c r="Z5" s="35"/>
    </row>
    <row r="6" spans="1:26" ht="33.75" x14ac:dyDescent="0.5">
      <c r="A6" s="91"/>
      <c r="B6" s="58" t="s">
        <v>290</v>
      </c>
      <c r="C6" s="59">
        <f ca="1">INDEX(D_Annee,MATCH(C2,L_Dept,0)+1,MATCH(E2,L_MoisCum,0))</f>
        <v>18770</v>
      </c>
      <c r="D6" s="59">
        <f ca="1">INDEX(D_AnneeP,MATCH(C2,L_Dept,0)+1,MATCH(E2,L_MoisCum,0))</f>
        <v>16665</v>
      </c>
      <c r="E6" s="60">
        <f ca="1">(C6/D6)-1</f>
        <v>0.12631263126312642</v>
      </c>
      <c r="F6" s="87"/>
      <c r="G6" s="35"/>
      <c r="H6" s="181">
        <f>AnneeEnCours!N25</f>
        <v>0.14729636236629418</v>
      </c>
      <c r="I6" s="182"/>
      <c r="J6" s="185">
        <f>AnneePrecedente!N25</f>
        <v>0.11584372692328526</v>
      </c>
      <c r="K6" s="186"/>
      <c r="L6" s="35"/>
      <c r="M6" s="164"/>
      <c r="N6" s="162"/>
      <c r="O6" s="86"/>
      <c r="P6" s="57"/>
      <c r="Q6" s="57"/>
      <c r="R6" s="57"/>
      <c r="S6" s="57"/>
      <c r="T6" s="57"/>
      <c r="U6" s="87"/>
      <c r="V6" s="35"/>
      <c r="W6" s="35"/>
      <c r="X6" s="35"/>
      <c r="Y6" s="35"/>
      <c r="Z6" s="35"/>
    </row>
    <row r="7" spans="1:26" ht="33.75" x14ac:dyDescent="0.5">
      <c r="A7" s="91"/>
      <c r="B7" s="58" t="s">
        <v>291</v>
      </c>
      <c r="C7" s="59">
        <f ca="1">SUM(OFFSET(AnneeEnCours!$B$4,MATCH($C$2,L_Dept,0),,,MATCH($E$2,L_MoisCum,0)))</f>
        <v>96361</v>
      </c>
      <c r="D7" s="59">
        <f ca="1">SUM(OFFSET(AnneePrecedente!$B$4,MATCH($C$2,L_Dept,0),,,MATCH($E$2,L_MoisCum,0)))</f>
        <v>89324</v>
      </c>
      <c r="E7" s="60">
        <f t="shared" ref="E7:E8" ca="1" si="0">(C7/D7)-1</f>
        <v>7.8780618870628372E-2</v>
      </c>
      <c r="F7" s="87"/>
      <c r="G7" s="35"/>
      <c r="H7" s="181"/>
      <c r="I7" s="182"/>
      <c r="J7" s="185"/>
      <c r="K7" s="186"/>
      <c r="L7" s="35"/>
      <c r="M7" s="164"/>
      <c r="N7" s="162"/>
      <c r="O7" s="86"/>
      <c r="P7" s="57"/>
      <c r="Q7" s="57"/>
      <c r="R7" s="57"/>
      <c r="S7" s="57"/>
      <c r="T7" s="57"/>
      <c r="U7" s="87"/>
      <c r="V7" s="35"/>
      <c r="W7" s="35"/>
      <c r="X7" s="35"/>
      <c r="Y7" s="35"/>
      <c r="Z7" s="35"/>
    </row>
    <row r="8" spans="1:26" ht="33.75" x14ac:dyDescent="0.5">
      <c r="A8" s="91"/>
      <c r="B8" s="58" t="s">
        <v>292</v>
      </c>
      <c r="C8" s="59">
        <f>SUM(CHOOSE(MATCH($C$2,L_Dept,0),Dept1An,Dept2An,Dept3An))</f>
        <v>96361</v>
      </c>
      <c r="D8" s="59">
        <f>SUM(CHOOSE(MATCH($C$2,L_Dept,0),Dept1AnP,Dept2AnP,Dept3AnP))</f>
        <v>195577</v>
      </c>
      <c r="E8" s="60">
        <f t="shared" si="0"/>
        <v>-0.50729891551665074</v>
      </c>
      <c r="F8" s="87"/>
      <c r="G8" s="35"/>
      <c r="H8" s="183"/>
      <c r="I8" s="184"/>
      <c r="J8" s="187"/>
      <c r="K8" s="188"/>
      <c r="L8" s="35"/>
      <c r="M8" s="164"/>
      <c r="N8" s="162"/>
      <c r="O8" s="86"/>
      <c r="P8" s="57"/>
      <c r="Q8" s="57"/>
      <c r="R8" s="57"/>
      <c r="S8" s="57"/>
      <c r="T8" s="57"/>
      <c r="U8" s="87"/>
      <c r="V8" s="35"/>
      <c r="W8" s="35"/>
      <c r="X8" s="35"/>
      <c r="Y8" s="35"/>
      <c r="Z8" s="35"/>
    </row>
    <row r="9" spans="1:26" ht="15" customHeight="1" x14ac:dyDescent="0.25">
      <c r="A9" s="169" t="s">
        <v>274</v>
      </c>
      <c r="B9" s="170"/>
      <c r="C9" s="170"/>
      <c r="D9" s="170"/>
      <c r="E9" s="170"/>
      <c r="F9" s="171"/>
      <c r="G9" s="35"/>
      <c r="H9" s="189" t="s">
        <v>275</v>
      </c>
      <c r="I9" s="190"/>
      <c r="J9" s="190"/>
      <c r="K9" s="191"/>
      <c r="L9" s="35"/>
      <c r="M9" s="164"/>
      <c r="N9" s="163"/>
      <c r="O9" s="86"/>
      <c r="P9" s="57"/>
      <c r="Q9" s="57"/>
      <c r="R9" s="57"/>
      <c r="S9" s="57"/>
      <c r="T9" s="57"/>
      <c r="U9" s="87"/>
      <c r="V9" s="35"/>
      <c r="W9" s="35"/>
      <c r="X9" s="35"/>
      <c r="Y9" s="35"/>
      <c r="Z9" s="35"/>
    </row>
    <row r="10" spans="1:26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64"/>
      <c r="N10" s="166" t="s">
        <v>175</v>
      </c>
      <c r="O10" s="86"/>
      <c r="P10" s="57"/>
      <c r="Q10" s="57"/>
      <c r="R10" s="57"/>
      <c r="S10" s="57"/>
      <c r="T10" s="57"/>
      <c r="U10" s="87"/>
      <c r="V10" s="35"/>
      <c r="W10" s="35"/>
      <c r="X10" s="35"/>
      <c r="Y10" s="35"/>
      <c r="Z10" s="35"/>
    </row>
    <row r="11" spans="1:26" ht="9.9499999999999993" customHeight="1" x14ac:dyDescent="0.25">
      <c r="A11" s="94"/>
      <c r="B11" s="84"/>
      <c r="C11" s="84"/>
      <c r="D11" s="84"/>
      <c r="E11" s="84"/>
      <c r="F11" s="85"/>
      <c r="G11" s="35"/>
      <c r="H11" s="94"/>
      <c r="I11" s="84"/>
      <c r="J11" s="84"/>
      <c r="K11" s="104"/>
      <c r="L11" s="35"/>
      <c r="M11" s="164"/>
      <c r="N11" s="167"/>
      <c r="O11" s="86"/>
      <c r="P11" s="57"/>
      <c r="Q11" s="57"/>
      <c r="R11" s="57"/>
      <c r="S11" s="57"/>
      <c r="T11" s="57"/>
      <c r="U11" s="87"/>
      <c r="V11" s="35"/>
      <c r="W11" s="35"/>
      <c r="X11" s="35"/>
      <c r="Y11" s="35"/>
      <c r="Z11" s="35"/>
    </row>
    <row r="12" spans="1:26" ht="15.95" customHeight="1" x14ac:dyDescent="0.25">
      <c r="A12" s="91"/>
      <c r="B12" s="57"/>
      <c r="C12" s="57"/>
      <c r="D12" s="57"/>
      <c r="E12" s="57"/>
      <c r="F12" s="87"/>
      <c r="G12" s="35"/>
      <c r="H12" s="112"/>
      <c r="I12" s="113" t="s">
        <v>130</v>
      </c>
      <c r="J12" s="113" t="s">
        <v>175</v>
      </c>
      <c r="K12" s="114" t="str">
        <f>E5</f>
        <v>Variation</v>
      </c>
      <c r="L12" s="35"/>
      <c r="M12" s="164"/>
      <c r="N12" s="167"/>
      <c r="O12" s="86"/>
      <c r="P12" s="57"/>
      <c r="Q12" s="57"/>
      <c r="R12" s="57"/>
      <c r="S12" s="57"/>
      <c r="T12" s="57"/>
      <c r="U12" s="87"/>
      <c r="V12" s="35"/>
      <c r="W12" s="35"/>
      <c r="X12" s="35"/>
      <c r="Y12" s="35"/>
      <c r="Z12" s="35"/>
    </row>
    <row r="13" spans="1:26" x14ac:dyDescent="0.25">
      <c r="A13" s="91"/>
      <c r="B13" s="57"/>
      <c r="C13" s="57"/>
      <c r="D13" s="57"/>
      <c r="E13" s="57"/>
      <c r="F13" s="87"/>
      <c r="G13" s="35"/>
      <c r="H13" s="194" t="s">
        <v>12</v>
      </c>
      <c r="I13" s="192">
        <f ca="1">SUM(Dept1AnCum)</f>
        <v>96361</v>
      </c>
      <c r="J13" s="192">
        <f ca="1">SUM(Dept1AnPCum)</f>
        <v>89324</v>
      </c>
      <c r="K13" s="197">
        <f ca="1">I13-J13</f>
        <v>7037</v>
      </c>
      <c r="L13" s="35"/>
      <c r="M13" s="164"/>
      <c r="N13" s="167"/>
      <c r="O13" s="86"/>
      <c r="P13" s="57"/>
      <c r="Q13" s="57"/>
      <c r="R13" s="57"/>
      <c r="S13" s="57"/>
      <c r="T13" s="57"/>
      <c r="U13" s="87"/>
      <c r="V13" s="35"/>
      <c r="W13" s="35"/>
      <c r="X13" s="35"/>
      <c r="Y13" s="35"/>
      <c r="Z13" s="35"/>
    </row>
    <row r="14" spans="1:26" x14ac:dyDescent="0.25">
      <c r="A14" s="91"/>
      <c r="B14" s="107"/>
      <c r="C14" s="57"/>
      <c r="D14" s="107"/>
      <c r="E14" s="107"/>
      <c r="F14" s="87"/>
      <c r="G14" s="35"/>
      <c r="H14" s="194"/>
      <c r="I14" s="192"/>
      <c r="J14" s="192"/>
      <c r="K14" s="197"/>
      <c r="L14" s="35"/>
      <c r="M14" s="164"/>
      <c r="N14" s="167"/>
      <c r="O14" s="86"/>
      <c r="P14" s="57"/>
      <c r="Q14" s="57"/>
      <c r="R14" s="57"/>
      <c r="S14" s="57"/>
      <c r="T14" s="57"/>
      <c r="U14" s="87"/>
      <c r="V14" s="35"/>
      <c r="W14" s="35"/>
      <c r="X14" s="35"/>
      <c r="Y14" s="35"/>
      <c r="Z14" s="35"/>
    </row>
    <row r="15" spans="1:26" s="28" customFormat="1" x14ac:dyDescent="0.25">
      <c r="A15" s="91"/>
      <c r="B15" s="57"/>
      <c r="C15" s="57"/>
      <c r="D15" s="57"/>
      <c r="E15" s="57"/>
      <c r="F15" s="87"/>
      <c r="G15" s="38"/>
      <c r="H15" s="194" t="s">
        <v>13</v>
      </c>
      <c r="I15" s="192">
        <f ca="1">SUM(Dept2AnCum)</f>
        <v>139118.20000000001</v>
      </c>
      <c r="J15" s="192">
        <f ca="1">SUM(Dept2AnPCum)</f>
        <v>134496.71000000002</v>
      </c>
      <c r="K15" s="197">
        <f t="shared" ref="K15" ca="1" si="1">I15-J15</f>
        <v>4621.4899999999907</v>
      </c>
      <c r="L15" s="38"/>
      <c r="M15" s="164"/>
      <c r="N15" s="167"/>
      <c r="O15" s="86"/>
      <c r="P15" s="57"/>
      <c r="Q15" s="57"/>
      <c r="R15" s="57"/>
      <c r="S15" s="57"/>
      <c r="T15" s="57"/>
      <c r="U15" s="87"/>
      <c r="V15" s="38"/>
      <c r="W15" s="38"/>
      <c r="X15" s="38"/>
      <c r="Y15" s="38"/>
      <c r="Z15" s="38"/>
    </row>
    <row r="16" spans="1:26" s="28" customFormat="1" x14ac:dyDescent="0.25">
      <c r="A16" s="91"/>
      <c r="B16" s="57"/>
      <c r="C16" s="57"/>
      <c r="D16" s="57"/>
      <c r="E16" s="57"/>
      <c r="F16" s="87"/>
      <c r="G16" s="38"/>
      <c r="H16" s="194"/>
      <c r="I16" s="192"/>
      <c r="J16" s="192"/>
      <c r="K16" s="197"/>
      <c r="L16" s="38"/>
      <c r="M16" s="164"/>
      <c r="N16" s="167"/>
      <c r="O16" s="86"/>
      <c r="P16" s="57"/>
      <c r="Q16" s="57"/>
      <c r="R16" s="57"/>
      <c r="S16" s="57"/>
      <c r="T16" s="57"/>
      <c r="U16" s="87"/>
      <c r="V16" s="38"/>
      <c r="W16" s="38"/>
      <c r="X16" s="38"/>
      <c r="Y16" s="38"/>
      <c r="Z16" s="38"/>
    </row>
    <row r="17" spans="1:26" x14ac:dyDescent="0.25">
      <c r="A17" s="91"/>
      <c r="B17" s="57"/>
      <c r="C17" s="57"/>
      <c r="D17" s="57"/>
      <c r="E17" s="57"/>
      <c r="F17" s="87"/>
      <c r="G17" s="35"/>
      <c r="H17" s="194" t="s">
        <v>14</v>
      </c>
      <c r="I17" s="192">
        <f ca="1">SUM(Dept3AnCum)</f>
        <v>55550</v>
      </c>
      <c r="J17" s="192">
        <f ca="1">SUM(Dept3AnPCum)</f>
        <v>51856</v>
      </c>
      <c r="K17" s="197">
        <f t="shared" ref="K17" ca="1" si="2">I17-J17</f>
        <v>3694</v>
      </c>
      <c r="L17" s="35"/>
      <c r="M17" s="164"/>
      <c r="N17" s="167"/>
      <c r="O17" s="86"/>
      <c r="P17" s="57"/>
      <c r="Q17" s="57"/>
      <c r="R17" s="57"/>
      <c r="S17" s="57"/>
      <c r="T17" s="57"/>
      <c r="U17" s="87"/>
      <c r="V17" s="35"/>
      <c r="W17" s="35"/>
      <c r="X17" s="35"/>
      <c r="Y17" s="35"/>
      <c r="Z17" s="35"/>
    </row>
    <row r="18" spans="1:26" x14ac:dyDescent="0.25">
      <c r="A18" s="91"/>
      <c r="B18" s="57"/>
      <c r="C18" s="57"/>
      <c r="D18" s="57"/>
      <c r="E18" s="57"/>
      <c r="F18" s="87"/>
      <c r="G18" s="35"/>
      <c r="H18" s="194"/>
      <c r="I18" s="192"/>
      <c r="J18" s="192"/>
      <c r="K18" s="197"/>
      <c r="L18" s="35"/>
      <c r="M18" s="164"/>
      <c r="N18" s="167"/>
      <c r="O18" s="86"/>
      <c r="P18" s="57"/>
      <c r="Q18" s="57"/>
      <c r="R18" s="57"/>
      <c r="S18" s="57"/>
      <c r="T18" s="57"/>
      <c r="U18" s="87"/>
      <c r="V18" s="35"/>
      <c r="W18" s="35"/>
      <c r="X18" s="35"/>
      <c r="Y18" s="35"/>
      <c r="Z18" s="35"/>
    </row>
    <row r="19" spans="1:26" ht="15" customHeight="1" x14ac:dyDescent="0.25">
      <c r="A19" s="92"/>
      <c r="B19" s="93"/>
      <c r="C19" s="93"/>
      <c r="D19" s="93"/>
      <c r="E19" s="93"/>
      <c r="F19" s="90"/>
      <c r="G19" s="35"/>
      <c r="H19" s="91"/>
      <c r="I19" s="106"/>
      <c r="J19" s="106"/>
      <c r="K19" s="105"/>
      <c r="L19" s="35"/>
      <c r="M19" s="165"/>
      <c r="N19" s="168"/>
      <c r="O19" s="88"/>
      <c r="P19" s="89"/>
      <c r="Q19" s="89"/>
      <c r="R19" s="89"/>
      <c r="S19" s="89"/>
      <c r="T19" s="89"/>
      <c r="U19" s="90"/>
      <c r="V19" s="35"/>
      <c r="W19" s="35"/>
      <c r="X19" s="35"/>
      <c r="Y19" s="35"/>
      <c r="Z19" s="35"/>
    </row>
    <row r="20" spans="1:26" ht="9.9499999999999993" customHeight="1" x14ac:dyDescent="0.25">
      <c r="A20" s="151" t="s">
        <v>212</v>
      </c>
      <c r="B20" s="152"/>
      <c r="C20" s="152"/>
      <c r="D20" s="152"/>
      <c r="E20" s="152"/>
      <c r="F20" s="153"/>
      <c r="G20" s="35"/>
      <c r="H20" s="151" t="s">
        <v>286</v>
      </c>
      <c r="I20" s="152"/>
      <c r="J20" s="152"/>
      <c r="K20" s="153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spans="1:26" ht="15" customHeight="1" x14ac:dyDescent="0.25">
      <c r="A21" s="154"/>
      <c r="B21" s="155"/>
      <c r="C21" s="155"/>
      <c r="D21" s="155"/>
      <c r="E21" s="155"/>
      <c r="F21" s="156"/>
      <c r="G21" s="35"/>
      <c r="H21" s="154"/>
      <c r="I21" s="155"/>
      <c r="J21" s="155"/>
      <c r="K21" s="156"/>
      <c r="L21" s="35"/>
      <c r="M21" s="172" t="s">
        <v>213</v>
      </c>
      <c r="N21" s="173"/>
      <c r="O21" s="94"/>
      <c r="P21" s="84"/>
      <c r="Q21" s="84"/>
      <c r="R21" s="84"/>
      <c r="S21" s="84"/>
      <c r="T21" s="84"/>
      <c r="U21" s="85"/>
      <c r="V21" s="35"/>
      <c r="W21" s="35"/>
      <c r="X21" s="35"/>
      <c r="Y21" s="35"/>
      <c r="Z21" s="35"/>
    </row>
    <row r="22" spans="1:26" ht="15" customHeight="1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74"/>
      <c r="N22" s="175"/>
      <c r="O22" s="91"/>
      <c r="P22" s="57"/>
      <c r="Q22" s="57"/>
      <c r="R22" s="57"/>
      <c r="S22" s="57"/>
      <c r="T22" s="57"/>
      <c r="U22" s="87"/>
      <c r="V22" s="35"/>
      <c r="W22" s="35"/>
      <c r="X22" s="35"/>
      <c r="Y22" s="35"/>
      <c r="Z22" s="35"/>
    </row>
    <row r="23" spans="1:26" ht="15.75" x14ac:dyDescent="0.25">
      <c r="A23" s="94"/>
      <c r="B23" s="131"/>
      <c r="C23" s="131"/>
      <c r="D23" s="131"/>
      <c r="E23" s="131"/>
      <c r="F23" s="85"/>
      <c r="G23" s="35"/>
      <c r="H23" s="94"/>
      <c r="I23" s="115" t="s">
        <v>130</v>
      </c>
      <c r="J23" s="115" t="s">
        <v>175</v>
      </c>
      <c r="K23" s="116" t="str">
        <f>E5</f>
        <v>Variation</v>
      </c>
      <c r="L23" s="35"/>
      <c r="M23" s="174"/>
      <c r="N23" s="175"/>
      <c r="O23" s="91"/>
      <c r="P23" s="57"/>
      <c r="Q23" s="57"/>
      <c r="R23" s="57"/>
      <c r="S23" s="57"/>
      <c r="T23" s="57"/>
      <c r="U23" s="87"/>
      <c r="V23" s="35"/>
      <c r="W23" s="35"/>
      <c r="X23" s="35"/>
      <c r="Y23" s="35"/>
      <c r="Z23" s="35"/>
    </row>
    <row r="24" spans="1:26" ht="15.75" x14ac:dyDescent="0.25">
      <c r="A24" s="91"/>
      <c r="B24" s="157"/>
      <c r="C24" s="157"/>
      <c r="D24" s="157"/>
      <c r="E24" s="157"/>
      <c r="F24" s="87"/>
      <c r="G24" s="35"/>
      <c r="H24" s="193" t="s">
        <v>12</v>
      </c>
      <c r="I24" s="195">
        <f>Sommaire!A16</f>
        <v>16060.166666666666</v>
      </c>
      <c r="J24" s="195">
        <f>Sommaire!B16</f>
        <v>16298.083333333334</v>
      </c>
      <c r="K24" s="196">
        <f>Sommaire!C16</f>
        <v>-1.4597831033301589E-2</v>
      </c>
      <c r="L24" s="35"/>
      <c r="M24" s="174"/>
      <c r="N24" s="175"/>
      <c r="O24" s="91"/>
      <c r="P24" s="57"/>
      <c r="Q24" s="57"/>
      <c r="R24" s="57"/>
      <c r="S24" s="57"/>
      <c r="T24" s="57"/>
      <c r="U24" s="87"/>
      <c r="V24" s="35"/>
      <c r="W24" s="35"/>
      <c r="X24" s="35"/>
      <c r="Y24" s="35"/>
      <c r="Z24" s="35"/>
    </row>
    <row r="25" spans="1:26" ht="15" customHeight="1" x14ac:dyDescent="0.25">
      <c r="A25" s="91"/>
      <c r="B25" s="157"/>
      <c r="C25" s="157"/>
      <c r="D25" s="157"/>
      <c r="E25" s="157"/>
      <c r="F25" s="87"/>
      <c r="G25" s="35"/>
      <c r="H25" s="193"/>
      <c r="I25" s="195"/>
      <c r="J25" s="195"/>
      <c r="K25" s="196"/>
      <c r="L25" s="35"/>
      <c r="M25" s="174"/>
      <c r="N25" s="175"/>
      <c r="O25" s="91"/>
      <c r="P25" s="57"/>
      <c r="Q25" s="57"/>
      <c r="R25" s="57"/>
      <c r="S25" s="57"/>
      <c r="T25" s="57"/>
      <c r="U25" s="87"/>
      <c r="V25" s="35"/>
      <c r="W25" s="35"/>
      <c r="X25" s="35"/>
      <c r="Y25" s="35"/>
      <c r="Z25" s="35"/>
    </row>
    <row r="26" spans="1:26" ht="15.75" x14ac:dyDescent="0.25">
      <c r="A26" s="91"/>
      <c r="B26" s="157"/>
      <c r="C26" s="157"/>
      <c r="D26" s="157"/>
      <c r="E26" s="157"/>
      <c r="F26" s="87"/>
      <c r="G26" s="35"/>
      <c r="H26" s="193" t="s">
        <v>13</v>
      </c>
      <c r="I26" s="195">
        <f>Sommaire!E16</f>
        <v>23186.366666666669</v>
      </c>
      <c r="J26" s="195">
        <f>Sommaire!F16</f>
        <v>22743.01833333333</v>
      </c>
      <c r="K26" s="196">
        <f>Sommaire!G16</f>
        <v>1.9493821217368756E-2</v>
      </c>
      <c r="L26" s="35"/>
      <c r="M26" s="174"/>
      <c r="N26" s="175"/>
      <c r="O26" s="91"/>
      <c r="P26" s="57"/>
      <c r="Q26" s="57"/>
      <c r="R26" s="57"/>
      <c r="S26" s="57"/>
      <c r="T26" s="57"/>
      <c r="U26" s="87"/>
      <c r="V26" s="35"/>
      <c r="W26" s="35"/>
      <c r="X26" s="35"/>
      <c r="Y26" s="35"/>
      <c r="Z26" s="35"/>
    </row>
    <row r="27" spans="1:26" x14ac:dyDescent="0.25">
      <c r="A27" s="91"/>
      <c r="B27" s="57"/>
      <c r="C27" s="57"/>
      <c r="D27" s="57"/>
      <c r="E27" s="57"/>
      <c r="F27" s="87"/>
      <c r="G27" s="35"/>
      <c r="H27" s="193"/>
      <c r="I27" s="195"/>
      <c r="J27" s="195"/>
      <c r="K27" s="196"/>
      <c r="L27" s="35"/>
      <c r="M27" s="174"/>
      <c r="N27" s="175"/>
      <c r="O27" s="91"/>
      <c r="P27" s="57"/>
      <c r="Q27" s="57"/>
      <c r="R27" s="57"/>
      <c r="S27" s="57"/>
      <c r="T27" s="57"/>
      <c r="U27" s="87"/>
      <c r="V27" s="35"/>
      <c r="W27" s="35"/>
      <c r="X27" s="35"/>
      <c r="Y27" s="35"/>
      <c r="Z27" s="35"/>
    </row>
    <row r="28" spans="1:26" x14ac:dyDescent="0.25">
      <c r="A28" s="91"/>
      <c r="B28" s="61"/>
      <c r="C28" s="57"/>
      <c r="D28" s="57"/>
      <c r="E28" s="57"/>
      <c r="F28" s="87"/>
      <c r="G28" s="35"/>
      <c r="H28" s="193" t="s">
        <v>14</v>
      </c>
      <c r="I28" s="195">
        <f>Sommaire!I16</f>
        <v>9258.3333333333339</v>
      </c>
      <c r="J28" s="195">
        <f>Sommaire!J16</f>
        <v>8288.0833333333339</v>
      </c>
      <c r="K28" s="196">
        <f>Sommaire!K16</f>
        <v>0.11706566656947226</v>
      </c>
      <c r="L28" s="35"/>
      <c r="M28" s="174"/>
      <c r="N28" s="175"/>
      <c r="O28" s="91"/>
      <c r="P28" s="57"/>
      <c r="Q28" s="57"/>
      <c r="R28" s="57"/>
      <c r="S28" s="57"/>
      <c r="T28" s="57"/>
      <c r="U28" s="87"/>
      <c r="V28" s="35"/>
      <c r="W28" s="35"/>
      <c r="X28" s="35"/>
      <c r="Y28" s="35"/>
      <c r="Z28" s="35"/>
    </row>
    <row r="29" spans="1:26" x14ac:dyDescent="0.25">
      <c r="A29" s="91"/>
      <c r="B29" s="61"/>
      <c r="C29" s="57"/>
      <c r="D29" s="57"/>
      <c r="E29" s="57"/>
      <c r="F29" s="87"/>
      <c r="G29" s="35"/>
      <c r="H29" s="193"/>
      <c r="I29" s="195"/>
      <c r="J29" s="195"/>
      <c r="K29" s="196"/>
      <c r="L29" s="35"/>
      <c r="M29" s="174"/>
      <c r="N29" s="175"/>
      <c r="O29" s="91"/>
      <c r="P29" s="57"/>
      <c r="Q29" s="57"/>
      <c r="R29" s="57"/>
      <c r="S29" s="57"/>
      <c r="T29" s="57"/>
      <c r="U29" s="87"/>
      <c r="V29" s="35"/>
      <c r="W29" s="35"/>
      <c r="X29" s="35"/>
      <c r="Y29" s="35"/>
      <c r="Z29" s="35"/>
    </row>
    <row r="30" spans="1:26" ht="15" customHeight="1" x14ac:dyDescent="0.25">
      <c r="A30" s="92"/>
      <c r="B30" s="133"/>
      <c r="C30" s="93"/>
      <c r="D30" s="93"/>
      <c r="E30" s="93"/>
      <c r="F30" s="90"/>
      <c r="G30" s="35"/>
      <c r="H30" s="92"/>
      <c r="I30" s="93"/>
      <c r="J30" s="93"/>
      <c r="K30" s="90"/>
      <c r="L30" s="35"/>
      <c r="M30" s="174"/>
      <c r="N30" s="175"/>
      <c r="O30" s="91"/>
      <c r="P30" s="57"/>
      <c r="Q30" s="57"/>
      <c r="R30" s="57"/>
      <c r="S30" s="57"/>
      <c r="T30" s="57"/>
      <c r="U30" s="87"/>
      <c r="V30" s="35"/>
      <c r="W30" s="35"/>
      <c r="X30" s="35"/>
      <c r="Y30" s="35"/>
      <c r="Z30" s="35"/>
    </row>
    <row r="31" spans="1:26" ht="18.75" customHeight="1" x14ac:dyDescent="0.3">
      <c r="A31" s="158" t="s">
        <v>214</v>
      </c>
      <c r="B31" s="159"/>
      <c r="C31" s="159"/>
      <c r="D31" s="159"/>
      <c r="E31" s="159"/>
      <c r="F31" s="160"/>
      <c r="G31" s="35"/>
      <c r="H31" s="189" t="s">
        <v>211</v>
      </c>
      <c r="I31" s="190"/>
      <c r="J31" s="190"/>
      <c r="K31" s="191"/>
      <c r="L31" s="35"/>
      <c r="M31" s="176"/>
      <c r="N31" s="177"/>
      <c r="O31" s="92"/>
      <c r="P31" s="93"/>
      <c r="Q31" s="93"/>
      <c r="R31" s="93"/>
      <c r="S31" s="93"/>
      <c r="T31" s="93"/>
      <c r="U31" s="90"/>
      <c r="V31" s="35"/>
      <c r="W31" s="35"/>
      <c r="X31" s="35"/>
      <c r="Y31" s="35"/>
      <c r="Z31" s="35"/>
    </row>
    <row r="32" spans="1:26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</sheetData>
  <mergeCells count="42">
    <mergeCell ref="K13:K14"/>
    <mergeCell ref="K15:K16"/>
    <mergeCell ref="K17:K18"/>
    <mergeCell ref="J15:J16"/>
    <mergeCell ref="J17:J18"/>
    <mergeCell ref="I17:I18"/>
    <mergeCell ref="I28:I29"/>
    <mergeCell ref="J28:J29"/>
    <mergeCell ref="K28:K29"/>
    <mergeCell ref="H20:K21"/>
    <mergeCell ref="I13:I14"/>
    <mergeCell ref="H31:K31"/>
    <mergeCell ref="H24:H25"/>
    <mergeCell ref="H26:H27"/>
    <mergeCell ref="H28:H29"/>
    <mergeCell ref="H13:H14"/>
    <mergeCell ref="H15:H16"/>
    <mergeCell ref="H17:H18"/>
    <mergeCell ref="I24:I25"/>
    <mergeCell ref="J24:J25"/>
    <mergeCell ref="K24:K25"/>
    <mergeCell ref="I26:I27"/>
    <mergeCell ref="J26:J27"/>
    <mergeCell ref="K26:K27"/>
    <mergeCell ref="J13:J14"/>
    <mergeCell ref="I15:I16"/>
    <mergeCell ref="A20:F21"/>
    <mergeCell ref="B24:E24"/>
    <mergeCell ref="A31:F31"/>
    <mergeCell ref="P2:S2"/>
    <mergeCell ref="B26:E26"/>
    <mergeCell ref="N4:N9"/>
    <mergeCell ref="M4:M19"/>
    <mergeCell ref="N10:N19"/>
    <mergeCell ref="A9:F9"/>
    <mergeCell ref="M21:N31"/>
    <mergeCell ref="B25:E25"/>
    <mergeCell ref="H5:I5"/>
    <mergeCell ref="J5:K5"/>
    <mergeCell ref="H6:I8"/>
    <mergeCell ref="J6:K8"/>
    <mergeCell ref="H9:K9"/>
  </mergeCells>
  <conditionalFormatting sqref="I19">
    <cfRule type="dataBar" priority="9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{A79ABF9F-6EFF-480C-AE4D-EA427B227BD6}</x14:id>
        </ext>
      </extLst>
    </cfRule>
  </conditionalFormatting>
  <conditionalFormatting sqref="J19">
    <cfRule type="dataBar" priority="8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{F5A5C816-8085-461F-AFE7-02CB8FFAA940}</x14:id>
        </ext>
      </extLst>
    </cfRule>
  </conditionalFormatting>
  <conditionalFormatting sqref="K19">
    <cfRule type="dataBar" priority="7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{4D0DD1BE-7E5F-45E5-9E16-3A32EC19ABB2}</x14:id>
        </ext>
      </extLst>
    </cfRule>
  </conditionalFormatting>
  <conditionalFormatting sqref="K13:K18">
    <cfRule type="iconSet" priority="6">
      <iconSet iconSet="3Arrows" showValue="0">
        <cfvo type="percent" val="0"/>
        <cfvo type="num" val="0"/>
        <cfvo type="num" val="0" gte="0"/>
      </iconSet>
    </cfRule>
  </conditionalFormatting>
  <conditionalFormatting sqref="K24:K29">
    <cfRule type="cellIs" dxfId="11" priority="1" operator="greaterThan">
      <formula>0.06</formula>
    </cfRule>
    <cfRule type="cellIs" dxfId="10" priority="2" operator="between">
      <formula>0.0301</formula>
      <formula>0.06</formula>
    </cfRule>
    <cfRule type="cellIs" dxfId="9" priority="3" operator="between">
      <formula>0.0101</formula>
      <formula>0.03</formula>
    </cfRule>
    <cfRule type="cellIs" dxfId="8" priority="4" operator="between">
      <formula>0</formula>
      <formula>0.01</formula>
    </cfRule>
    <cfRule type="cellIs" dxfId="7" priority="5" operator="lessThan">
      <formula>0</formula>
    </cfRule>
  </conditionalFormatting>
  <dataValidations count="3">
    <dataValidation type="list" allowBlank="1" showInputMessage="1" showErrorMessage="1" sqref="C2">
      <formula1>L_Dept</formula1>
    </dataValidation>
    <dataValidation type="list" allowBlank="1" showInputMessage="1" showErrorMessage="1" sqref="E2">
      <formula1>L_MoisCum</formula1>
    </dataValidation>
    <dataValidation type="list" allowBlank="1" showInputMessage="1" showErrorMessage="1" sqref="P2:S2">
      <formula1>L_TypeGraphs</formula1>
    </dataValidation>
  </dataValidations>
  <printOptions headings="1"/>
  <pageMargins left="0.23622047244094488" right="0.23622047244094488" top="0.3543307086614173" bottom="0.49" header="0.27559055118110237" footer="0.15748031496062992"/>
  <pageSetup paperSize="5" scale="77" orientation="landscape" cellComments="atEnd" r:id="rId1"/>
  <headerFooter>
    <oddFooter>&amp;C&amp;F&amp;L&amp;A&amp;R&amp;"-,Italique"&amp;9Imprimé le : &amp;D
à &amp;T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9ABF9F-6EFF-480C-AE4D-EA427B227B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I19</xm:sqref>
        </x14:conditionalFormatting>
        <x14:conditionalFormatting xmlns:xm="http://schemas.microsoft.com/office/excel/2006/main">
          <x14:cfRule type="dataBar" id="{F5A5C816-8085-461F-AFE7-02CB8FFAA9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J19</xm:sqref>
        </x14:conditionalFormatting>
        <x14:conditionalFormatting xmlns:xm="http://schemas.microsoft.com/office/excel/2006/main">
          <x14:cfRule type="dataBar" id="{4D0DD1BE-7E5F-45E5-9E16-3A32EC19ABB2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topLeftCell="A16" zoomScale="110" zoomScaleNormal="110" workbookViewId="0">
      <selection activeCell="C32" sqref="C32"/>
    </sheetView>
  </sheetViews>
  <sheetFormatPr baseColWidth="10" defaultColWidth="10.7109375" defaultRowHeight="15" x14ac:dyDescent="0.25"/>
  <cols>
    <col min="22" max="24" width="22.7109375" customWidth="1"/>
  </cols>
  <sheetData>
    <row r="1" spans="1:29" ht="21" x14ac:dyDescent="0.35">
      <c r="A1" s="200" t="s">
        <v>163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V1" s="36" t="s">
        <v>179</v>
      </c>
      <c r="W1" s="37" t="s">
        <v>226</v>
      </c>
      <c r="X1" s="37" t="s">
        <v>228</v>
      </c>
    </row>
    <row r="2" spans="1:29" s="66" customFormat="1" x14ac:dyDescent="0.25">
      <c r="V2" s="67" t="s">
        <v>176</v>
      </c>
      <c r="W2" s="68" t="s">
        <v>227</v>
      </c>
      <c r="X2" s="68" t="s">
        <v>229</v>
      </c>
    </row>
    <row r="3" spans="1:29" s="66" customFormat="1" ht="15" customHeight="1" x14ac:dyDescent="0.25">
      <c r="V3" s="67" t="s">
        <v>177</v>
      </c>
      <c r="W3" s="68" t="s">
        <v>216</v>
      </c>
      <c r="X3" s="68" t="s">
        <v>230</v>
      </c>
    </row>
    <row r="4" spans="1:29" s="66" customFormat="1" ht="15" customHeight="1" x14ac:dyDescent="0.25">
      <c r="V4" s="67" t="s">
        <v>178</v>
      </c>
      <c r="W4" s="68" t="s">
        <v>225</v>
      </c>
      <c r="X4" s="68" t="s">
        <v>231</v>
      </c>
    </row>
    <row r="5" spans="1:29" s="66" customFormat="1" ht="15" customHeight="1" x14ac:dyDescent="0.25"/>
    <row r="6" spans="1:29" s="66" customFormat="1" ht="15" customHeight="1" thickBot="1" x14ac:dyDescent="0.3"/>
    <row r="7" spans="1:29" s="66" customFormat="1" ht="15" customHeight="1" thickBot="1" x14ac:dyDescent="0.3">
      <c r="V7" s="202" t="s">
        <v>165</v>
      </c>
      <c r="W7" s="203"/>
      <c r="X7" s="203"/>
      <c r="Y7" s="203"/>
      <c r="Z7" s="203"/>
      <c r="AA7" s="203"/>
      <c r="AB7" s="203"/>
      <c r="AC7" s="204"/>
    </row>
    <row r="8" spans="1:29" s="66" customFormat="1" ht="15" customHeight="1" x14ac:dyDescent="0.25">
      <c r="V8" s="205" t="s">
        <v>217</v>
      </c>
      <c r="W8" s="206"/>
      <c r="X8" s="206"/>
      <c r="Y8" s="206"/>
      <c r="Z8" s="206"/>
      <c r="AA8" s="206"/>
      <c r="AB8" s="206"/>
      <c r="AC8" s="207"/>
    </row>
    <row r="9" spans="1:29" s="66" customFormat="1" ht="15" customHeight="1" x14ac:dyDescent="0.25">
      <c r="V9" s="208" t="s">
        <v>109</v>
      </c>
      <c r="W9" s="209"/>
      <c r="X9" s="23" t="s">
        <v>30</v>
      </c>
      <c r="Y9" s="26"/>
      <c r="Z9" s="33"/>
      <c r="AA9" s="33"/>
      <c r="AB9" s="33"/>
      <c r="AC9" s="34"/>
    </row>
    <row r="10" spans="1:29" s="66" customFormat="1" ht="15" customHeight="1" x14ac:dyDescent="0.25">
      <c r="V10" s="210" t="s">
        <v>110</v>
      </c>
      <c r="W10" s="211"/>
      <c r="X10" s="12" t="s">
        <v>36</v>
      </c>
      <c r="Y10" s="28"/>
      <c r="Z10" s="28"/>
      <c r="AA10" s="28"/>
      <c r="AB10" s="28"/>
      <c r="AC10" s="29"/>
    </row>
    <row r="11" spans="1:29" s="66" customFormat="1" ht="21.95" customHeight="1" x14ac:dyDescent="0.25">
      <c r="V11" s="210" t="s">
        <v>111</v>
      </c>
      <c r="W11" s="211"/>
      <c r="X11" s="12" t="s">
        <v>41</v>
      </c>
      <c r="Y11" s="28"/>
      <c r="Z11" s="28"/>
      <c r="AA11" s="28"/>
      <c r="AB11" s="28"/>
      <c r="AC11" s="29"/>
    </row>
    <row r="12" spans="1:29" s="66" customFormat="1" ht="15" customHeight="1" x14ac:dyDescent="0.25">
      <c r="V12" s="32"/>
      <c r="W12" s="30"/>
      <c r="X12" s="30"/>
      <c r="Y12" s="30"/>
      <c r="Z12" s="30"/>
      <c r="AA12" s="30"/>
      <c r="AB12" s="30"/>
      <c r="AC12" s="31"/>
    </row>
    <row r="13" spans="1:29" ht="21" x14ac:dyDescent="0.35">
      <c r="A13" s="200" t="s">
        <v>164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V13" s="212" t="s">
        <v>218</v>
      </c>
      <c r="W13" s="213"/>
      <c r="X13" s="213"/>
      <c r="Y13" s="213"/>
      <c r="Z13" s="213"/>
      <c r="AA13" s="213"/>
      <c r="AB13" s="213"/>
      <c r="AC13" s="214"/>
    </row>
    <row r="14" spans="1:29" x14ac:dyDescent="0.25">
      <c r="V14" s="208" t="s">
        <v>33</v>
      </c>
      <c r="W14" s="209"/>
      <c r="X14" s="23" t="s">
        <v>34</v>
      </c>
      <c r="Y14" s="26"/>
      <c r="Z14" s="26"/>
      <c r="AA14" s="26"/>
      <c r="AB14" s="26"/>
      <c r="AC14" s="27"/>
    </row>
    <row r="15" spans="1:29" x14ac:dyDescent="0.25">
      <c r="V15" s="210" t="s">
        <v>39</v>
      </c>
      <c r="W15" s="211"/>
      <c r="X15" s="12" t="s">
        <v>101</v>
      </c>
      <c r="Y15" s="28"/>
      <c r="Z15" s="28"/>
      <c r="AA15" s="28"/>
      <c r="AB15" s="28"/>
      <c r="AC15" s="29"/>
    </row>
    <row r="16" spans="1:29" x14ac:dyDescent="0.25">
      <c r="V16" s="210" t="s">
        <v>44</v>
      </c>
      <c r="W16" s="211"/>
      <c r="X16" s="12" t="s">
        <v>102</v>
      </c>
      <c r="Y16" s="28"/>
      <c r="Z16" s="28"/>
      <c r="AA16" s="28"/>
      <c r="AB16" s="28"/>
      <c r="AC16" s="29"/>
    </row>
    <row r="17" spans="1:29" x14ac:dyDescent="0.25">
      <c r="V17" s="32"/>
      <c r="W17" s="30"/>
      <c r="X17" s="30"/>
      <c r="Y17" s="30"/>
      <c r="Z17" s="30"/>
      <c r="AA17" s="30"/>
      <c r="AB17" s="30"/>
      <c r="AC17" s="31"/>
    </row>
    <row r="18" spans="1:29" x14ac:dyDescent="0.25">
      <c r="V18" s="212" t="s">
        <v>219</v>
      </c>
      <c r="W18" s="213"/>
      <c r="X18" s="213"/>
      <c r="Y18" s="213"/>
      <c r="Z18" s="213"/>
      <c r="AA18" s="213"/>
      <c r="AB18" s="213"/>
      <c r="AC18" s="214"/>
    </row>
    <row r="19" spans="1:29" x14ac:dyDescent="0.25">
      <c r="V19" s="198" t="s">
        <v>112</v>
      </c>
      <c r="W19" s="199"/>
      <c r="X19" s="24" t="s">
        <v>105</v>
      </c>
      <c r="Y19" s="8"/>
      <c r="Z19" s="8"/>
      <c r="AA19" s="8"/>
      <c r="AB19" s="8"/>
      <c r="AC19" s="25"/>
    </row>
    <row r="23" spans="1:29" ht="21.95" customHeight="1" x14ac:dyDescent="0.25"/>
    <row r="26" spans="1:29" x14ac:dyDescent="0.25">
      <c r="C26" s="132" t="s">
        <v>169</v>
      </c>
      <c r="D26" s="132" t="s">
        <v>170</v>
      </c>
      <c r="E26" s="132" t="s">
        <v>171</v>
      </c>
    </row>
    <row r="27" spans="1:29" x14ac:dyDescent="0.25">
      <c r="A27" s="215" t="s">
        <v>287</v>
      </c>
      <c r="B27" s="215"/>
      <c r="C27" s="119">
        <f>Sommaire!B8</f>
        <v>205350</v>
      </c>
      <c r="D27" s="119">
        <f>Sommaire!F8</f>
        <v>181100</v>
      </c>
      <c r="E27" s="119">
        <f>Sommaire!J8</f>
        <v>106500</v>
      </c>
      <c r="L27" s="28"/>
      <c r="M27" s="28"/>
      <c r="N27" s="28"/>
    </row>
    <row r="28" spans="1:29" x14ac:dyDescent="0.25">
      <c r="A28" s="215" t="s">
        <v>288</v>
      </c>
      <c r="B28" s="215"/>
      <c r="C28" s="121">
        <f>Sommaire!A8</f>
        <v>96361</v>
      </c>
      <c r="D28" s="121">
        <f>Sommaire!E8</f>
        <v>139118.20000000001</v>
      </c>
      <c r="E28" s="121">
        <f>Sommaire!I8</f>
        <v>55550</v>
      </c>
      <c r="L28" s="120"/>
      <c r="M28" s="120"/>
      <c r="N28" s="28"/>
    </row>
    <row r="29" spans="1:29" x14ac:dyDescent="0.25">
      <c r="A29" s="215" t="s">
        <v>22</v>
      </c>
      <c r="B29" s="215"/>
      <c r="C29" s="126">
        <f>C28/C27</f>
        <v>0.4692524957389822</v>
      </c>
      <c r="D29" s="122">
        <f t="shared" ref="D29:E29" si="0">D28/D27</f>
        <v>0.76818442849254565</v>
      </c>
      <c r="E29" s="122">
        <f t="shared" si="0"/>
        <v>0.52159624413145544</v>
      </c>
    </row>
    <row r="30" spans="1:29" x14ac:dyDescent="0.25">
      <c r="A30" s="216" t="s">
        <v>289</v>
      </c>
      <c r="B30" s="216"/>
      <c r="C30" s="129">
        <f>1-C29</f>
        <v>0.5307475042610178</v>
      </c>
      <c r="D30" s="124">
        <f>1-D29</f>
        <v>0.23181557150745435</v>
      </c>
      <c r="E30" s="124">
        <f>1-E29</f>
        <v>0.47840375586854456</v>
      </c>
    </row>
    <row r="31" spans="1:29" x14ac:dyDescent="0.25">
      <c r="A31" s="216">
        <v>1</v>
      </c>
      <c r="B31" s="216"/>
      <c r="C31" s="130">
        <v>1</v>
      </c>
      <c r="D31" s="123">
        <v>1</v>
      </c>
      <c r="E31" s="124">
        <v>1</v>
      </c>
    </row>
    <row r="34" spans="10:10" x14ac:dyDescent="0.25">
      <c r="J34" s="127"/>
    </row>
    <row r="35" spans="10:10" x14ac:dyDescent="0.25">
      <c r="J35" s="128"/>
    </row>
    <row r="36" spans="10:10" x14ac:dyDescent="0.25">
      <c r="J36" s="125"/>
    </row>
  </sheetData>
  <sortState ref="V1:X4">
    <sortCondition ref="V3:V6"/>
  </sortState>
  <mergeCells count="18">
    <mergeCell ref="A27:B27"/>
    <mergeCell ref="A28:B28"/>
    <mergeCell ref="A29:B29"/>
    <mergeCell ref="A30:B30"/>
    <mergeCell ref="A31:B31"/>
    <mergeCell ref="V19:W19"/>
    <mergeCell ref="A1:T1"/>
    <mergeCell ref="A13:T13"/>
    <mergeCell ref="V7:AC7"/>
    <mergeCell ref="V8:AC8"/>
    <mergeCell ref="V9:W9"/>
    <mergeCell ref="V10:W10"/>
    <mergeCell ref="V11:W11"/>
    <mergeCell ref="V18:AC18"/>
    <mergeCell ref="V13:AC13"/>
    <mergeCell ref="V14:W14"/>
    <mergeCell ref="V15:W15"/>
    <mergeCell ref="V16:W16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showGridLines="0" zoomScale="110" zoomScaleNormal="110" workbookViewId="0">
      <selection activeCell="A10" sqref="A10"/>
    </sheetView>
  </sheetViews>
  <sheetFormatPr baseColWidth="10" defaultRowHeight="15" x14ac:dyDescent="0.25"/>
  <cols>
    <col min="1" max="1" width="17.85546875" customWidth="1"/>
    <col min="2" max="2" width="14.5703125" customWidth="1"/>
    <col min="4" max="4" width="2.7109375" customWidth="1"/>
    <col min="5" max="5" width="13.7109375" customWidth="1"/>
    <col min="6" max="6" width="2.7109375" customWidth="1"/>
    <col min="7" max="7" width="26.140625" bestFit="1" customWidth="1"/>
    <col min="8" max="8" width="4.7109375" customWidth="1"/>
    <col min="10" max="12" width="20.7109375" customWidth="1"/>
    <col min="14" max="16" width="20.7109375" customWidth="1"/>
  </cols>
  <sheetData>
    <row r="1" spans="1:16" ht="18.75" x14ac:dyDescent="0.3">
      <c r="A1" s="134" t="s">
        <v>294</v>
      </c>
      <c r="B1" s="135" t="s">
        <v>295</v>
      </c>
      <c r="C1" s="135" t="s">
        <v>296</v>
      </c>
      <c r="D1" s="135"/>
      <c r="E1" s="135" t="s">
        <v>297</v>
      </c>
      <c r="F1" s="135"/>
      <c r="G1" s="135" t="s">
        <v>298</v>
      </c>
      <c r="I1" s="142" t="s">
        <v>304</v>
      </c>
      <c r="J1" s="251" t="s">
        <v>305</v>
      </c>
      <c r="K1" s="251"/>
      <c r="L1" s="256" t="s">
        <v>306</v>
      </c>
      <c r="N1" s="252" t="s">
        <v>169</v>
      </c>
      <c r="O1" s="252" t="s">
        <v>170</v>
      </c>
      <c r="P1" s="252" t="s">
        <v>171</v>
      </c>
    </row>
    <row r="2" spans="1:16" ht="15.75" x14ac:dyDescent="0.25">
      <c r="A2" s="134" t="s">
        <v>299</v>
      </c>
      <c r="B2" s="136">
        <v>42005</v>
      </c>
      <c r="C2" s="136">
        <v>42369</v>
      </c>
      <c r="E2" s="137">
        <v>42005</v>
      </c>
      <c r="G2" s="137">
        <v>42006</v>
      </c>
      <c r="J2" s="217"/>
      <c r="K2" s="217"/>
      <c r="L2" s="250"/>
      <c r="N2" s="149"/>
      <c r="O2" s="149"/>
      <c r="P2" s="149"/>
    </row>
    <row r="3" spans="1:16" x14ac:dyDescent="0.25">
      <c r="C3" s="136">
        <v>42735</v>
      </c>
      <c r="E3" s="137">
        <v>42097</v>
      </c>
      <c r="G3" s="137">
        <v>42007</v>
      </c>
      <c r="J3" s="251" t="s">
        <v>307</v>
      </c>
      <c r="K3" s="251"/>
    </row>
    <row r="4" spans="1:16" x14ac:dyDescent="0.25">
      <c r="E4" s="137">
        <v>42100</v>
      </c>
      <c r="G4" s="137">
        <v>42205</v>
      </c>
      <c r="J4" s="218"/>
      <c r="K4" s="218"/>
      <c r="N4" s="251" t="s">
        <v>319</v>
      </c>
      <c r="O4" s="251"/>
      <c r="P4" s="251"/>
    </row>
    <row r="5" spans="1:16" x14ac:dyDescent="0.25">
      <c r="E5" s="137">
        <v>42142</v>
      </c>
      <c r="G5" s="137">
        <v>42206</v>
      </c>
      <c r="J5" s="251" t="s">
        <v>308</v>
      </c>
      <c r="K5" s="251"/>
      <c r="N5" s="148"/>
      <c r="O5" s="148"/>
      <c r="P5" s="148"/>
    </row>
    <row r="6" spans="1:16" x14ac:dyDescent="0.25">
      <c r="E6" s="137">
        <v>42179</v>
      </c>
      <c r="G6" s="137">
        <v>42207</v>
      </c>
      <c r="J6" s="221"/>
      <c r="K6" s="221"/>
    </row>
    <row r="7" spans="1:16" x14ac:dyDescent="0.25">
      <c r="E7" s="137">
        <v>42186</v>
      </c>
      <c r="G7" s="137">
        <v>42208</v>
      </c>
      <c r="J7" s="251" t="s">
        <v>309</v>
      </c>
      <c r="K7" s="251"/>
    </row>
    <row r="8" spans="1:16" x14ac:dyDescent="0.25">
      <c r="E8" s="137">
        <v>42254</v>
      </c>
      <c r="G8" s="137">
        <v>42209</v>
      </c>
      <c r="J8" s="220"/>
      <c r="K8" s="220"/>
    </row>
    <row r="9" spans="1:16" x14ac:dyDescent="0.25">
      <c r="E9" s="137">
        <v>42289</v>
      </c>
      <c r="G9" s="137">
        <v>42212</v>
      </c>
    </row>
    <row r="10" spans="1:16" x14ac:dyDescent="0.25">
      <c r="E10" s="137">
        <v>42317</v>
      </c>
      <c r="G10" s="137">
        <v>42213</v>
      </c>
      <c r="J10" s="251" t="s">
        <v>310</v>
      </c>
      <c r="K10" s="251"/>
      <c r="L10" s="251"/>
    </row>
    <row r="11" spans="1:16" ht="18.75" x14ac:dyDescent="0.3">
      <c r="E11" s="137">
        <v>42363</v>
      </c>
      <c r="G11" s="137">
        <v>42214</v>
      </c>
      <c r="J11" s="252" t="s">
        <v>169</v>
      </c>
      <c r="K11" s="252" t="s">
        <v>170</v>
      </c>
      <c r="L11" s="252" t="s">
        <v>171</v>
      </c>
    </row>
    <row r="12" spans="1:16" x14ac:dyDescent="0.25">
      <c r="G12" s="137">
        <v>42215</v>
      </c>
      <c r="J12" s="143">
        <f>Sommaire!B8</f>
        <v>205350</v>
      </c>
      <c r="K12" s="143">
        <f>Sommaire!F8</f>
        <v>181100</v>
      </c>
      <c r="L12" s="143">
        <f>Sommaire!J8</f>
        <v>106500</v>
      </c>
    </row>
    <row r="13" spans="1:16" x14ac:dyDescent="0.25">
      <c r="G13" s="137">
        <v>42216</v>
      </c>
    </row>
    <row r="14" spans="1:16" x14ac:dyDescent="0.25">
      <c r="G14" s="137">
        <v>42362</v>
      </c>
      <c r="J14" s="251" t="s">
        <v>311</v>
      </c>
      <c r="K14" s="251"/>
      <c r="L14" s="251"/>
    </row>
    <row r="15" spans="1:16" x14ac:dyDescent="0.25">
      <c r="G15" s="137">
        <v>42366</v>
      </c>
      <c r="J15" s="253" t="s">
        <v>312</v>
      </c>
      <c r="K15" s="254"/>
      <c r="L15" s="255"/>
    </row>
    <row r="16" spans="1:16" x14ac:dyDescent="0.25">
      <c r="G16" s="137">
        <v>42367</v>
      </c>
      <c r="J16" s="150" t="e">
        <f>J12/$J$2</f>
        <v>#DIV/0!</v>
      </c>
      <c r="K16" s="144" t="e">
        <f>K12/$J$2</f>
        <v>#DIV/0!</v>
      </c>
      <c r="L16" s="144" t="e">
        <f>L12/$J$2</f>
        <v>#DIV/0!</v>
      </c>
    </row>
    <row r="17" spans="5:12" x14ac:dyDescent="0.25">
      <c r="G17" s="137">
        <v>42368</v>
      </c>
      <c r="J17" s="251" t="s">
        <v>313</v>
      </c>
      <c r="K17" s="251"/>
      <c r="L17" s="251"/>
    </row>
    <row r="18" spans="5:12" x14ac:dyDescent="0.25">
      <c r="G18" s="137">
        <v>42369</v>
      </c>
      <c r="J18" s="144" t="e">
        <f>J16*$J$6</f>
        <v>#DIV/0!</v>
      </c>
      <c r="K18" s="144" t="e">
        <f t="shared" ref="K18:L18" si="0">K16*$J$6</f>
        <v>#DIV/0!</v>
      </c>
      <c r="L18" s="144" t="e">
        <f t="shared" si="0"/>
        <v>#DIV/0!</v>
      </c>
    </row>
    <row r="19" spans="5:12" x14ac:dyDescent="0.25">
      <c r="E19" s="138">
        <v>42370</v>
      </c>
      <c r="G19" s="138">
        <v>42373</v>
      </c>
    </row>
    <row r="20" spans="5:12" x14ac:dyDescent="0.25">
      <c r="E20" s="138">
        <v>42454</v>
      </c>
      <c r="G20" s="138">
        <v>42374</v>
      </c>
      <c r="J20" s="251"/>
      <c r="K20" s="251"/>
      <c r="L20" s="251"/>
    </row>
    <row r="21" spans="5:12" x14ac:dyDescent="0.25">
      <c r="E21" s="138">
        <v>42457</v>
      </c>
      <c r="G21" s="138">
        <v>42569</v>
      </c>
      <c r="J21" s="144">
        <f>SUM(Dept1An)</f>
        <v>96361</v>
      </c>
      <c r="K21" s="144">
        <f>SUM(Dept2An)</f>
        <v>139118.20000000001</v>
      </c>
      <c r="L21" s="144">
        <f>SUM(Dept3An)</f>
        <v>55550</v>
      </c>
    </row>
    <row r="22" spans="5:12" x14ac:dyDescent="0.25">
      <c r="E22" s="138">
        <v>42513</v>
      </c>
      <c r="G22" s="138">
        <v>42570</v>
      </c>
      <c r="J22" s="145"/>
      <c r="K22" s="145"/>
      <c r="L22" s="145"/>
    </row>
    <row r="23" spans="5:12" x14ac:dyDescent="0.25">
      <c r="E23" s="138">
        <v>42545</v>
      </c>
      <c r="G23" s="138">
        <v>42571</v>
      </c>
      <c r="J23" s="251" t="s">
        <v>314</v>
      </c>
      <c r="K23" s="251"/>
      <c r="L23" s="251"/>
    </row>
    <row r="24" spans="5:12" x14ac:dyDescent="0.25">
      <c r="E24" s="138">
        <v>42552</v>
      </c>
      <c r="G24" s="138">
        <v>42572</v>
      </c>
      <c r="J24" s="144" t="e">
        <f>J21-J18</f>
        <v>#DIV/0!</v>
      </c>
      <c r="K24" s="144" t="e">
        <f t="shared" ref="K24:L24" si="1">K21-K18</f>
        <v>#DIV/0!</v>
      </c>
      <c r="L24" s="144" t="e">
        <f t="shared" si="1"/>
        <v>#DIV/0!</v>
      </c>
    </row>
    <row r="25" spans="5:12" x14ac:dyDescent="0.25">
      <c r="E25" s="138">
        <v>42618</v>
      </c>
      <c r="G25" s="138">
        <v>42573</v>
      </c>
      <c r="J25" s="145"/>
      <c r="K25" s="145"/>
      <c r="L25" s="145"/>
    </row>
    <row r="26" spans="5:12" x14ac:dyDescent="0.25">
      <c r="E26" s="138">
        <v>42653</v>
      </c>
      <c r="G26" s="138">
        <v>42576</v>
      </c>
      <c r="J26" s="251" t="s">
        <v>315</v>
      </c>
      <c r="K26" s="251"/>
      <c r="L26" s="251"/>
    </row>
    <row r="27" spans="5:12" x14ac:dyDescent="0.25">
      <c r="E27" s="138">
        <v>42685</v>
      </c>
      <c r="G27" s="138">
        <v>42577</v>
      </c>
      <c r="J27" s="144" t="e">
        <f>J21/$J$6</f>
        <v>#DIV/0!</v>
      </c>
      <c r="K27" s="144" t="e">
        <f>K21/$J$6</f>
        <v>#DIV/0!</v>
      </c>
      <c r="L27" s="144" t="e">
        <f>L21/$J$6</f>
        <v>#DIV/0!</v>
      </c>
    </row>
    <row r="28" spans="5:12" x14ac:dyDescent="0.25">
      <c r="E28" s="138">
        <v>42729</v>
      </c>
      <c r="G28" s="138">
        <v>42578</v>
      </c>
    </row>
    <row r="29" spans="5:12" x14ac:dyDescent="0.25">
      <c r="G29" s="138">
        <v>42579</v>
      </c>
      <c r="J29" s="251" t="s">
        <v>316</v>
      </c>
      <c r="K29" s="251"/>
      <c r="L29" s="251"/>
    </row>
    <row r="30" spans="5:12" x14ac:dyDescent="0.25">
      <c r="G30" s="138">
        <v>42580</v>
      </c>
      <c r="J30" s="146" t="e">
        <f>J12/J27</f>
        <v>#DIV/0!</v>
      </c>
      <c r="K30" s="146" t="e">
        <f t="shared" ref="K30:L30" si="2">K12/K27</f>
        <v>#DIV/0!</v>
      </c>
      <c r="L30" s="146" t="e">
        <f t="shared" si="2"/>
        <v>#DIV/0!</v>
      </c>
    </row>
    <row r="31" spans="5:12" x14ac:dyDescent="0.25">
      <c r="G31" s="138">
        <v>42727</v>
      </c>
    </row>
    <row r="32" spans="5:12" x14ac:dyDescent="0.25">
      <c r="G32" s="138">
        <v>42730</v>
      </c>
      <c r="J32" s="251" t="s">
        <v>317</v>
      </c>
      <c r="K32" s="251"/>
      <c r="L32" s="251"/>
    </row>
    <row r="33" spans="1:12" x14ac:dyDescent="0.25">
      <c r="G33" s="138">
        <v>42731</v>
      </c>
      <c r="J33" s="146" t="e">
        <f>$J$2-J30</f>
        <v>#DIV/0!</v>
      </c>
      <c r="K33" s="147" t="e">
        <f t="shared" ref="K33:L33" si="3">$J$2-K30</f>
        <v>#DIV/0!</v>
      </c>
      <c r="L33" s="147" t="e">
        <f t="shared" si="3"/>
        <v>#DIV/0!</v>
      </c>
    </row>
    <row r="34" spans="1:12" x14ac:dyDescent="0.25">
      <c r="G34" s="138">
        <v>42732</v>
      </c>
      <c r="J34" s="219" t="s">
        <v>318</v>
      </c>
      <c r="K34" s="219"/>
      <c r="L34" s="219"/>
    </row>
    <row r="35" spans="1:12" x14ac:dyDescent="0.25">
      <c r="G35" s="138">
        <v>42733</v>
      </c>
      <c r="J35" s="219"/>
      <c r="K35" s="219"/>
      <c r="L35" s="219"/>
    </row>
    <row r="36" spans="1:12" x14ac:dyDescent="0.25">
      <c r="G36" s="138">
        <v>42734</v>
      </c>
    </row>
    <row r="37" spans="1:12" x14ac:dyDescent="0.25">
      <c r="G37" s="138">
        <v>42735</v>
      </c>
    </row>
    <row r="45" spans="1:12" x14ac:dyDescent="0.25">
      <c r="G45" s="28"/>
    </row>
    <row r="46" spans="1:12" x14ac:dyDescent="0.25">
      <c r="A46" s="139" t="s">
        <v>300</v>
      </c>
      <c r="B46" s="26"/>
      <c r="C46" s="26"/>
      <c r="D46" s="26"/>
      <c r="E46" s="26"/>
      <c r="F46" s="26"/>
      <c r="G46" s="27"/>
    </row>
    <row r="47" spans="1:12" x14ac:dyDescent="0.25">
      <c r="A47" s="140" t="s">
        <v>301</v>
      </c>
      <c r="B47" s="28"/>
      <c r="C47" s="28"/>
      <c r="D47" s="28"/>
      <c r="E47" s="28"/>
      <c r="F47" s="28"/>
      <c r="G47" s="29"/>
    </row>
    <row r="48" spans="1:12" x14ac:dyDescent="0.25">
      <c r="A48" s="140" t="s">
        <v>302</v>
      </c>
      <c r="B48" s="28"/>
      <c r="C48" s="28"/>
      <c r="D48" s="28"/>
      <c r="E48" s="28"/>
      <c r="F48" s="28"/>
      <c r="G48" s="29"/>
    </row>
    <row r="49" spans="1:7" x14ac:dyDescent="0.25">
      <c r="A49" s="141" t="s">
        <v>303</v>
      </c>
      <c r="B49" s="30"/>
      <c r="C49" s="30"/>
      <c r="D49" s="30"/>
      <c r="E49" s="30"/>
      <c r="F49" s="30"/>
      <c r="G49" s="31"/>
    </row>
  </sheetData>
  <mergeCells count="19">
    <mergeCell ref="N4:P4"/>
    <mergeCell ref="J20:L20"/>
    <mergeCell ref="J23:L23"/>
    <mergeCell ref="J26:L26"/>
    <mergeCell ref="J29:L29"/>
    <mergeCell ref="J6:K6"/>
    <mergeCell ref="J32:L32"/>
    <mergeCell ref="J34:L35"/>
    <mergeCell ref="J7:K7"/>
    <mergeCell ref="J8:K8"/>
    <mergeCell ref="J10:L10"/>
    <mergeCell ref="J14:L14"/>
    <mergeCell ref="J15:L15"/>
    <mergeCell ref="J17:L17"/>
    <mergeCell ref="J1:K1"/>
    <mergeCell ref="J2:K2"/>
    <mergeCell ref="J3:K3"/>
    <mergeCell ref="J4:K4"/>
    <mergeCell ref="J5:K5"/>
  </mergeCells>
  <hyperlinks>
    <hyperlink ref="A47" r:id="rId1"/>
    <hyperlink ref="A48" r:id="rId2"/>
    <hyperlink ref="A49" r:id="rId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C8" sqref="C8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225" t="s">
        <v>15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39"/>
    </row>
    <row r="2" spans="1:12" ht="18.75" x14ac:dyDescent="0.25">
      <c r="A2" s="226" t="s">
        <v>100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39"/>
    </row>
    <row r="3" spans="1:1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30" x14ac:dyDescent="0.4">
      <c r="A4" s="230" t="str">
        <f>AnneeEnCours!A5</f>
        <v>Dépt 1</v>
      </c>
      <c r="B4" s="230"/>
      <c r="C4" s="230"/>
      <c r="D4" s="39"/>
      <c r="E4" s="231" t="str">
        <f>AnneeEnCours!A6</f>
        <v>Dépt 2</v>
      </c>
      <c r="F4" s="231"/>
      <c r="G4" s="231"/>
      <c r="H4" s="39"/>
      <c r="I4" s="231" t="str">
        <f>AnneeEnCours!A7</f>
        <v>Dépt 3</v>
      </c>
      <c r="J4" s="231"/>
      <c r="K4" s="231"/>
      <c r="L4" s="39"/>
    </row>
    <row r="5" spans="1:12" ht="15.75" thickBot="1" x14ac:dyDescent="0.3">
      <c r="A5" s="39"/>
      <c r="B5" s="40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s="6" customFormat="1" ht="18" x14ac:dyDescent="0.25">
      <c r="A6" s="227" t="s">
        <v>16</v>
      </c>
      <c r="B6" s="228"/>
      <c r="C6" s="228"/>
      <c r="D6" s="228"/>
      <c r="E6" s="228"/>
      <c r="F6" s="228"/>
      <c r="G6" s="228"/>
      <c r="H6" s="228"/>
      <c r="I6" s="228"/>
      <c r="J6" s="228"/>
      <c r="K6" s="229"/>
      <c r="L6" s="41"/>
    </row>
    <row r="7" spans="1:12" s="28" customFormat="1" ht="11.1" customHeight="1" x14ac:dyDescent="0.25">
      <c r="A7" s="42" t="s">
        <v>20</v>
      </c>
      <c r="B7" s="42" t="s">
        <v>16</v>
      </c>
      <c r="C7" s="42" t="s">
        <v>22</v>
      </c>
      <c r="D7" s="43"/>
      <c r="E7" s="42" t="s">
        <v>20</v>
      </c>
      <c r="F7" s="42" t="s">
        <v>16</v>
      </c>
      <c r="G7" s="42" t="s">
        <v>22</v>
      </c>
      <c r="H7" s="43"/>
      <c r="I7" s="42" t="s">
        <v>20</v>
      </c>
      <c r="J7" s="42" t="s">
        <v>16</v>
      </c>
      <c r="K7" s="42" t="s">
        <v>22</v>
      </c>
      <c r="L7" s="44"/>
    </row>
    <row r="8" spans="1:12" ht="33" customHeight="1" thickBot="1" x14ac:dyDescent="0.3">
      <c r="A8" s="45">
        <f>SUM(Dept1An)</f>
        <v>96361</v>
      </c>
      <c r="B8" s="46">
        <v>205350</v>
      </c>
      <c r="C8" s="9">
        <f>A8/B8</f>
        <v>0.4692524957389822</v>
      </c>
      <c r="D8" s="47"/>
      <c r="E8" s="48">
        <f>SUM(Dept2An)</f>
        <v>139118.20000000001</v>
      </c>
      <c r="F8" s="46">
        <v>181100</v>
      </c>
      <c r="G8" s="9">
        <f>E8/F8</f>
        <v>0.76818442849254565</v>
      </c>
      <c r="H8" s="47"/>
      <c r="I8" s="48">
        <f>SUM(Dept3An)</f>
        <v>55550</v>
      </c>
      <c r="J8" s="46">
        <v>106500</v>
      </c>
      <c r="K8" s="10">
        <f>I8/J8</f>
        <v>0.52159624413145544</v>
      </c>
      <c r="L8" s="39"/>
    </row>
    <row r="9" spans="1:12" ht="24" customHeight="1" thickBot="1" x14ac:dyDescent="0.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2" s="6" customFormat="1" ht="18" x14ac:dyDescent="0.25">
      <c r="A10" s="222" t="s">
        <v>18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4"/>
      <c r="L10" s="41"/>
    </row>
    <row r="11" spans="1:12" s="28" customFormat="1" ht="11.1" customHeight="1" x14ac:dyDescent="0.25">
      <c r="A11" s="42" t="s">
        <v>20</v>
      </c>
      <c r="B11" s="42" t="s">
        <v>21</v>
      </c>
      <c r="C11" s="42" t="s">
        <v>22</v>
      </c>
      <c r="D11" s="43"/>
      <c r="E11" s="42" t="s">
        <v>20</v>
      </c>
      <c r="F11" s="42" t="s">
        <v>21</v>
      </c>
      <c r="G11" s="42" t="s">
        <v>22</v>
      </c>
      <c r="H11" s="43"/>
      <c r="I11" s="42" t="s">
        <v>20</v>
      </c>
      <c r="J11" s="42" t="s">
        <v>21</v>
      </c>
      <c r="K11" s="42" t="s">
        <v>22</v>
      </c>
      <c r="L11" s="44"/>
    </row>
    <row r="12" spans="1:12" ht="33" customHeight="1" thickBot="1" x14ac:dyDescent="0.3">
      <c r="A12" s="45">
        <f>SUM(Dept1An)</f>
        <v>96361</v>
      </c>
      <c r="B12" s="46">
        <f>SUM(Dept1AnP)</f>
        <v>195577</v>
      </c>
      <c r="C12" s="9">
        <f>A12/B12</f>
        <v>0.49270108448334926</v>
      </c>
      <c r="D12" s="47"/>
      <c r="E12" s="48">
        <f>SUM(Dept2An)</f>
        <v>139118.20000000001</v>
      </c>
      <c r="F12" s="46">
        <f>SUM(Dept2AnP)</f>
        <v>272916.21999999997</v>
      </c>
      <c r="G12" s="9">
        <f>E12/F12</f>
        <v>0.50974691060868438</v>
      </c>
      <c r="H12" s="47"/>
      <c r="I12" s="48">
        <f>SUM(Dept3An)</f>
        <v>55550</v>
      </c>
      <c r="J12" s="46">
        <f>SUM(Dept3AnP)</f>
        <v>99457</v>
      </c>
      <c r="K12" s="10">
        <f>I12/J12</f>
        <v>0.55853283328473613</v>
      </c>
      <c r="L12" s="39"/>
    </row>
    <row r="13" spans="1:12" ht="24" customHeight="1" thickBot="1" x14ac:dyDescent="0.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</row>
    <row r="14" spans="1:12" s="6" customFormat="1" ht="18" x14ac:dyDescent="0.25">
      <c r="A14" s="222" t="s">
        <v>17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4"/>
      <c r="L14" s="41"/>
    </row>
    <row r="15" spans="1:12" s="28" customFormat="1" ht="11.1" customHeight="1" x14ac:dyDescent="0.25">
      <c r="A15" s="42" t="s">
        <v>20</v>
      </c>
      <c r="B15" s="42" t="s">
        <v>21</v>
      </c>
      <c r="C15" s="42" t="s">
        <v>22</v>
      </c>
      <c r="D15" s="43"/>
      <c r="E15" s="42" t="s">
        <v>20</v>
      </c>
      <c r="F15" s="42" t="s">
        <v>21</v>
      </c>
      <c r="G15" s="42" t="s">
        <v>22</v>
      </c>
      <c r="H15" s="43"/>
      <c r="I15" s="42" t="s">
        <v>20</v>
      </c>
      <c r="J15" s="42" t="s">
        <v>21</v>
      </c>
      <c r="K15" s="42" t="s">
        <v>22</v>
      </c>
      <c r="L15" s="44"/>
    </row>
    <row r="16" spans="1:12" ht="33" customHeight="1" thickBot="1" x14ac:dyDescent="0.3">
      <c r="A16" s="45">
        <f>AVERAGE(Dept1An)</f>
        <v>16060.166666666666</v>
      </c>
      <c r="B16" s="46">
        <f>AVERAGE(Dept1AnP)</f>
        <v>16298.083333333334</v>
      </c>
      <c r="C16" s="9">
        <f>(A16/B16)-1</f>
        <v>-1.4597831033301589E-2</v>
      </c>
      <c r="D16" s="47"/>
      <c r="E16" s="48">
        <f>AVERAGE(Dept2An)</f>
        <v>23186.366666666669</v>
      </c>
      <c r="F16" s="46">
        <f>AVERAGE(Dept2AnP)</f>
        <v>22743.01833333333</v>
      </c>
      <c r="G16" s="9">
        <f>(E16/F16)-1</f>
        <v>1.9493821217368756E-2</v>
      </c>
      <c r="H16" s="47"/>
      <c r="I16" s="48">
        <f>AVERAGE(Dept3An)</f>
        <v>9258.3333333333339</v>
      </c>
      <c r="J16" s="46">
        <f>AVERAGE(Dept3AnP)</f>
        <v>8288.0833333333339</v>
      </c>
      <c r="K16" s="10">
        <f>(I16/J16)-1</f>
        <v>0.11706566656947226</v>
      </c>
      <c r="L16" s="39"/>
    </row>
    <row r="17" spans="1:12" ht="24" customHeight="1" thickBot="1" x14ac:dyDescent="0.3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2" ht="17.25" customHeight="1" thickBot="1" x14ac:dyDescent="0.3">
      <c r="A18" s="222" t="s">
        <v>0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4"/>
      <c r="L18" s="39"/>
    </row>
    <row r="19" spans="1:12" ht="17.25" customHeight="1" x14ac:dyDescent="0.25">
      <c r="A19" s="222" t="s">
        <v>19</v>
      </c>
      <c r="B19" s="223"/>
      <c r="C19" s="223"/>
      <c r="D19" s="223"/>
      <c r="E19" s="223"/>
      <c r="F19" s="223"/>
      <c r="G19" s="223"/>
      <c r="H19" s="223"/>
      <c r="I19" s="223"/>
      <c r="J19" s="223"/>
      <c r="K19" s="224"/>
      <c r="L19" s="39"/>
    </row>
    <row r="20" spans="1:12" s="28" customFormat="1" ht="11.1" customHeight="1" x14ac:dyDescent="0.25">
      <c r="A20" s="42" t="s">
        <v>20</v>
      </c>
      <c r="B20" s="42" t="s">
        <v>21</v>
      </c>
      <c r="C20" s="42" t="s">
        <v>22</v>
      </c>
      <c r="D20" s="43"/>
      <c r="E20" s="42" t="s">
        <v>20</v>
      </c>
      <c r="F20" s="42" t="s">
        <v>21</v>
      </c>
      <c r="G20" s="42" t="s">
        <v>22</v>
      </c>
      <c r="H20" s="43"/>
      <c r="I20" s="42" t="s">
        <v>20</v>
      </c>
      <c r="J20" s="42" t="s">
        <v>21</v>
      </c>
      <c r="K20" s="42" t="s">
        <v>22</v>
      </c>
      <c r="L20" s="44"/>
    </row>
    <row r="21" spans="1:12" ht="33" customHeight="1" thickBot="1" x14ac:dyDescent="0.3">
      <c r="A21" s="45">
        <f>HLOOKUP(C_Mois,D_Annee,2,FALSE)</f>
        <v>14355</v>
      </c>
      <c r="B21" s="46">
        <f>HLOOKUP(C_Mois,D_AnneeP,2,FALSE)</f>
        <v>13503</v>
      </c>
      <c r="C21" s="9">
        <f>(A21/B21)-1</f>
        <v>6.3097089535658846E-2</v>
      </c>
      <c r="D21" s="47"/>
      <c r="E21" s="48">
        <f>HLOOKUP(C_Mois,D_Annee,3,FALSE)</f>
        <v>19068</v>
      </c>
      <c r="F21" s="46">
        <f>HLOOKUP(C_Mois,D_AnneeP,3,FALSE)</f>
        <v>17575.54</v>
      </c>
      <c r="G21" s="9">
        <f>(E21/F21)-1</f>
        <v>8.491687879860299E-2</v>
      </c>
      <c r="H21" s="47"/>
      <c r="I21" s="48">
        <f>HLOOKUP(C_Mois,D_Annee,4,FALSE)</f>
        <v>9870</v>
      </c>
      <c r="J21" s="46">
        <f>HLOOKUP(C_Mois,D_AnneeP,4,FALSE)</f>
        <v>8500</v>
      </c>
      <c r="K21" s="10">
        <f>(I21/J21)-1</f>
        <v>0.16117647058823525</v>
      </c>
      <c r="L21" s="39"/>
    </row>
    <row r="22" spans="1:12" ht="24" customHeight="1" thickBot="1" x14ac:dyDescent="0.3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ht="17.25" customHeight="1" x14ac:dyDescent="0.25">
      <c r="A23" s="222" t="s">
        <v>23</v>
      </c>
      <c r="B23" s="223"/>
      <c r="C23" s="223"/>
      <c r="D23" s="223"/>
      <c r="E23" s="223"/>
      <c r="F23" s="223"/>
      <c r="G23" s="223"/>
      <c r="H23" s="223"/>
      <c r="I23" s="223"/>
      <c r="J23" s="223"/>
      <c r="K23" s="224"/>
      <c r="L23" s="39"/>
    </row>
    <row r="24" spans="1:12" ht="17.25" customHeight="1" x14ac:dyDescent="0.25">
      <c r="A24" s="49"/>
      <c r="B24" s="50"/>
      <c r="C24" s="50"/>
      <c r="D24" s="50"/>
      <c r="E24" s="51" t="s">
        <v>24</v>
      </c>
      <c r="F24" s="52" t="s">
        <v>25</v>
      </c>
      <c r="G24" s="53" t="str">
        <f ca="1">D_Mois_EnCours</f>
        <v>Juin</v>
      </c>
      <c r="H24" s="50"/>
      <c r="I24" s="50"/>
      <c r="J24" s="50"/>
      <c r="K24" s="54"/>
      <c r="L24" s="39"/>
    </row>
    <row r="25" spans="1:12" s="28" customFormat="1" ht="11.1" customHeight="1" x14ac:dyDescent="0.25">
      <c r="A25" s="42" t="s">
        <v>20</v>
      </c>
      <c r="B25" s="42" t="s">
        <v>21</v>
      </c>
      <c r="C25" s="42" t="s">
        <v>22</v>
      </c>
      <c r="D25" s="43"/>
      <c r="E25" s="42" t="s">
        <v>20</v>
      </c>
      <c r="F25" s="42" t="s">
        <v>21</v>
      </c>
      <c r="G25" s="42" t="s">
        <v>22</v>
      </c>
      <c r="H25" s="43"/>
      <c r="I25" s="42" t="s">
        <v>20</v>
      </c>
      <c r="J25" s="42" t="s">
        <v>21</v>
      </c>
      <c r="K25" s="42" t="s">
        <v>22</v>
      </c>
      <c r="L25" s="44"/>
    </row>
    <row r="26" spans="1:12" ht="33" customHeight="1" thickBot="1" x14ac:dyDescent="0.3">
      <c r="A26" s="45">
        <f ca="1">SUM(Dept1AnCum)</f>
        <v>96361</v>
      </c>
      <c r="B26" s="46">
        <f ca="1">SUM(Dept1AnPCum)</f>
        <v>89324</v>
      </c>
      <c r="C26" s="9">
        <f ca="1">(A26/B26)-1</f>
        <v>7.8780618870628372E-2</v>
      </c>
      <c r="D26" s="47"/>
      <c r="E26" s="48">
        <f ca="1">SUM(Dept2AnCum)</f>
        <v>139118.20000000001</v>
      </c>
      <c r="F26" s="46">
        <f ca="1">SUM(Dept2AnPCum)</f>
        <v>134496.71000000002</v>
      </c>
      <c r="G26" s="9">
        <f ca="1">(E26/F26)-1</f>
        <v>3.4361360958197418E-2</v>
      </c>
      <c r="H26" s="47"/>
      <c r="I26" s="48">
        <f ca="1">SUM(Dept3AnCum)</f>
        <v>55550</v>
      </c>
      <c r="J26" s="46">
        <f ca="1">SUM(Dept3AnPCum)</f>
        <v>51856</v>
      </c>
      <c r="K26" s="10">
        <f ca="1">(I26/J26)-1</f>
        <v>7.1235729713051477E-2</v>
      </c>
      <c r="L26" s="39"/>
    </row>
    <row r="27" spans="1:12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x14ac:dyDescent="0.25">
      <c r="A28" s="108" t="s">
        <v>276</v>
      </c>
      <c r="B28" s="109">
        <f>B8/12</f>
        <v>17112.5</v>
      </c>
      <c r="C28" s="39"/>
      <c r="D28" s="39"/>
      <c r="E28" s="108" t="s">
        <v>276</v>
      </c>
      <c r="F28" s="109">
        <f>F8/12</f>
        <v>15091.666666666666</v>
      </c>
      <c r="G28" s="39"/>
      <c r="H28" s="39"/>
      <c r="I28" s="108" t="s">
        <v>276</v>
      </c>
      <c r="J28" s="109">
        <f>J8/12</f>
        <v>8875</v>
      </c>
      <c r="K28" s="39"/>
      <c r="L28" s="39"/>
    </row>
    <row r="29" spans="1:12" x14ac:dyDescent="0.25">
      <c r="A29" s="108" t="s">
        <v>277</v>
      </c>
      <c r="B29" s="109">
        <f ca="1">COUNT(Dept1AnCum)*B28</f>
        <v>102675</v>
      </c>
      <c r="C29" s="39"/>
      <c r="D29" s="39"/>
      <c r="E29" s="108" t="s">
        <v>277</v>
      </c>
      <c r="F29" s="109">
        <f ca="1">COUNT(Dept2AnCum)*F28</f>
        <v>90550</v>
      </c>
      <c r="G29" s="39"/>
      <c r="H29" s="39"/>
      <c r="I29" s="108" t="s">
        <v>277</v>
      </c>
      <c r="J29" s="109">
        <f ca="1">COUNT(Dept3AnCum)*J28</f>
        <v>53250</v>
      </c>
      <c r="K29" s="39"/>
      <c r="L29" s="39"/>
    </row>
    <row r="30" spans="1:12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6" priority="4" stopIfTrue="1" operator="lessThan">
      <formula>0</formula>
    </cfRule>
  </conditionalFormatting>
  <conditionalFormatting sqref="K26">
    <cfRule type="cellIs" dxfId="5" priority="3" stopIfTrue="1" operator="lessThan">
      <formula>0</formula>
    </cfRule>
  </conditionalFormatting>
  <conditionalFormatting sqref="G26">
    <cfRule type="cellIs" dxfId="4" priority="2" stopIfTrue="1" operator="lessThan">
      <formula>0</formula>
    </cfRule>
  </conditionalFormatting>
  <conditionalFormatting sqref="C26">
    <cfRule type="cellIs" dxfId="3" priority="1" stopIfTrue="1" operator="lessThan">
      <formula>0</formula>
    </cfRule>
  </conditionalFormatting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4" orientation="landscape" cellComments="atEnd" r:id="rId1"/>
  <headerFooter>
    <oddFooter>&amp;C&amp;F&amp;L&amp;A&amp;R&amp;"-,Italique"&amp;9Imprimé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N25"/>
  <sheetViews>
    <sheetView workbookViewId="0">
      <selection activeCell="E6" sqref="E6"/>
    </sheetView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4" ht="18.75" x14ac:dyDescent="0.3">
      <c r="B3" s="232" t="s">
        <v>283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4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  <c r="N4" s="81" t="s">
        <v>260</v>
      </c>
    </row>
    <row r="5" spans="1:14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  <c r="N5" s="82">
        <f>SUM(B5:M5)</f>
        <v>96361</v>
      </c>
    </row>
    <row r="6" spans="1:14" x14ac:dyDescent="0.25">
      <c r="A6" s="5" t="s">
        <v>13</v>
      </c>
      <c r="B6" s="1">
        <v>19068</v>
      </c>
      <c r="C6" s="1">
        <v>19804.21</v>
      </c>
      <c r="D6" s="1">
        <v>20316.990000000002</v>
      </c>
      <c r="E6" s="1">
        <v>22162</v>
      </c>
      <c r="F6" s="1">
        <v>28550</v>
      </c>
      <c r="G6" s="1">
        <v>29217</v>
      </c>
      <c r="H6" s="1"/>
      <c r="I6" s="1"/>
      <c r="J6" s="1"/>
      <c r="K6" s="1"/>
      <c r="L6" s="1"/>
      <c r="M6" s="1"/>
      <c r="N6" s="82">
        <f>SUM(B6:M6)</f>
        <v>139118.20000000001</v>
      </c>
    </row>
    <row r="7" spans="1:14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  <c r="N7" s="82">
        <f>SUM(B7:M7)</f>
        <v>55550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4" x14ac:dyDescent="0.25">
      <c r="B10" s="1"/>
      <c r="C10" s="1"/>
      <c r="D10" s="1"/>
      <c r="E10" s="1"/>
      <c r="F10" s="1"/>
      <c r="G10" s="1"/>
    </row>
    <row r="11" spans="1:14" x14ac:dyDescent="0.25">
      <c r="B11" s="1"/>
      <c r="C11" s="1"/>
      <c r="D11" s="1"/>
      <c r="E11" s="1"/>
      <c r="F11" s="1"/>
      <c r="G11" s="1"/>
    </row>
    <row r="12" spans="1:14" ht="18.75" x14ac:dyDescent="0.3">
      <c r="B12" s="233" t="s">
        <v>284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</row>
    <row r="13" spans="1:14" x14ac:dyDescent="0.25">
      <c r="B13" s="4" t="s">
        <v>0</v>
      </c>
      <c r="C13" s="4" t="s">
        <v>1</v>
      </c>
      <c r="D13" s="4" t="s">
        <v>2</v>
      </c>
      <c r="E13" s="4" t="s">
        <v>3</v>
      </c>
      <c r="F13" s="4" t="s">
        <v>4</v>
      </c>
      <c r="G13" s="4" t="s">
        <v>5</v>
      </c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</row>
    <row r="14" spans="1:14" x14ac:dyDescent="0.25">
      <c r="A14" s="5" t="s">
        <v>12</v>
      </c>
      <c r="B14" s="1">
        <v>15776.904740416001</v>
      </c>
      <c r="C14" s="1">
        <v>13072.17913361681</v>
      </c>
      <c r="D14" s="1">
        <v>15279.320170056308</v>
      </c>
      <c r="E14" s="1">
        <v>13589.730321009332</v>
      </c>
      <c r="F14" s="1">
        <v>16498.518123700895</v>
      </c>
      <c r="G14" s="1">
        <v>11450.839988148029</v>
      </c>
      <c r="H14" s="1"/>
      <c r="I14" s="1"/>
      <c r="J14" s="1"/>
      <c r="K14" s="1"/>
      <c r="L14" s="1"/>
      <c r="M14" s="1"/>
      <c r="N14" s="82">
        <f>SUM(B14:M14)</f>
        <v>85667.492476947373</v>
      </c>
    </row>
    <row r="15" spans="1:14" x14ac:dyDescent="0.25">
      <c r="A15" s="5" t="s">
        <v>13</v>
      </c>
      <c r="B15" s="1">
        <v>19104.485776008733</v>
      </c>
      <c r="C15" s="1">
        <v>17686.362633414181</v>
      </c>
      <c r="D15" s="1">
        <v>21731.777532909324</v>
      </c>
      <c r="E15" s="1">
        <v>21103.647759772663</v>
      </c>
      <c r="F15" s="1">
        <v>22248.532399116091</v>
      </c>
      <c r="G15" s="1">
        <v>30139.693660634923</v>
      </c>
      <c r="H15" s="1"/>
      <c r="I15" s="1"/>
      <c r="J15" s="1"/>
      <c r="K15" s="1"/>
      <c r="L15" s="1"/>
      <c r="M15" s="1"/>
      <c r="N15" s="82">
        <f>SUM(B15:M15)</f>
        <v>132014.4997618559</v>
      </c>
    </row>
    <row r="16" spans="1:14" x14ac:dyDescent="0.25">
      <c r="A16" s="5" t="s">
        <v>14</v>
      </c>
      <c r="B16" s="1">
        <v>4771.2143488197071</v>
      </c>
      <c r="C16" s="1">
        <v>7666.6348293646006</v>
      </c>
      <c r="D16" s="1">
        <v>2559.4909655777396</v>
      </c>
      <c r="E16" s="1">
        <v>9520.0667116944696</v>
      </c>
      <c r="F16" s="1">
        <v>6310.5525583804247</v>
      </c>
      <c r="G16" s="1">
        <v>5155.2821495078688</v>
      </c>
      <c r="H16" s="1"/>
      <c r="I16" s="1"/>
      <c r="J16" s="1"/>
      <c r="K16" s="1"/>
      <c r="L16" s="1"/>
      <c r="M16" s="1"/>
      <c r="N16" s="82">
        <f>SUM(B16:M16)</f>
        <v>35983.241563344811</v>
      </c>
    </row>
    <row r="20" spans="1:14" ht="18.75" x14ac:dyDescent="0.3">
      <c r="B20" s="234" t="s">
        <v>285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</row>
    <row r="21" spans="1:14" x14ac:dyDescent="0.25">
      <c r="A21" s="5" t="s">
        <v>278</v>
      </c>
      <c r="B21" s="4" t="s">
        <v>0</v>
      </c>
      <c r="C21" s="4" t="s">
        <v>1</v>
      </c>
      <c r="D21" s="4" t="s">
        <v>2</v>
      </c>
      <c r="E21" s="4" t="s">
        <v>3</v>
      </c>
      <c r="F21" s="4" t="s">
        <v>4</v>
      </c>
      <c r="G21" s="4" t="s">
        <v>5</v>
      </c>
      <c r="H21" s="4" t="s">
        <v>6</v>
      </c>
      <c r="I21" s="4" t="s">
        <v>7</v>
      </c>
      <c r="J21" s="4" t="s">
        <v>8</v>
      </c>
      <c r="K21" s="4" t="s">
        <v>9</v>
      </c>
      <c r="L21" s="4" t="s">
        <v>10</v>
      </c>
      <c r="M21" s="4" t="s">
        <v>11</v>
      </c>
      <c r="N21" s="5" t="s">
        <v>278</v>
      </c>
    </row>
    <row r="22" spans="1:14" x14ac:dyDescent="0.25">
      <c r="A22" s="5" t="s">
        <v>279</v>
      </c>
      <c r="B22" s="110">
        <f>SUM(B5:B7)</f>
        <v>43293</v>
      </c>
      <c r="C22" s="110">
        <f t="shared" ref="C22:M22" si="0">SUM(C5:C7)</f>
        <v>45879.21</v>
      </c>
      <c r="D22" s="110">
        <f t="shared" si="0"/>
        <v>44975.990000000005</v>
      </c>
      <c r="E22" s="110">
        <f t="shared" si="0"/>
        <v>43672</v>
      </c>
      <c r="F22" s="110">
        <f t="shared" si="0"/>
        <v>56977</v>
      </c>
      <c r="G22" s="110">
        <f t="shared" si="0"/>
        <v>56232</v>
      </c>
      <c r="H22" s="110">
        <f t="shared" si="0"/>
        <v>0</v>
      </c>
      <c r="I22" s="110">
        <f t="shared" si="0"/>
        <v>0</v>
      </c>
      <c r="J22" s="110">
        <f t="shared" si="0"/>
        <v>0</v>
      </c>
      <c r="K22" s="110">
        <f t="shared" si="0"/>
        <v>0</v>
      </c>
      <c r="L22" s="110">
        <f t="shared" si="0"/>
        <v>0</v>
      </c>
      <c r="M22" s="110">
        <f t="shared" si="0"/>
        <v>0</v>
      </c>
      <c r="N22" s="110">
        <f>SUM(B22:M22)</f>
        <v>291029.2</v>
      </c>
    </row>
    <row r="23" spans="1:14" x14ac:dyDescent="0.25">
      <c r="A23" s="5" t="s">
        <v>280</v>
      </c>
      <c r="B23" s="110">
        <f>SUM(B14:B16)</f>
        <v>39652.604865244444</v>
      </c>
      <c r="C23" s="110">
        <f t="shared" ref="C23:M23" si="1">SUM(C14:C16)</f>
        <v>38425.176596395591</v>
      </c>
      <c r="D23" s="110">
        <f t="shared" si="1"/>
        <v>39570.588668543372</v>
      </c>
      <c r="E23" s="110">
        <f t="shared" si="1"/>
        <v>44213.444792476461</v>
      </c>
      <c r="F23" s="110">
        <f t="shared" si="1"/>
        <v>45057.603081197412</v>
      </c>
      <c r="G23" s="110">
        <f t="shared" si="1"/>
        <v>46745.815798290816</v>
      </c>
      <c r="H23" s="110">
        <f t="shared" si="1"/>
        <v>0</v>
      </c>
      <c r="I23" s="110">
        <f t="shared" si="1"/>
        <v>0</v>
      </c>
      <c r="J23" s="110">
        <f t="shared" si="1"/>
        <v>0</v>
      </c>
      <c r="K23" s="110">
        <f t="shared" si="1"/>
        <v>0</v>
      </c>
      <c r="L23" s="110">
        <f t="shared" si="1"/>
        <v>0</v>
      </c>
      <c r="M23" s="110">
        <f t="shared" si="1"/>
        <v>0</v>
      </c>
      <c r="N23" s="110">
        <f>SUM(B23:M23)</f>
        <v>253665.23380214808</v>
      </c>
    </row>
    <row r="24" spans="1:14" x14ac:dyDescent="0.25">
      <c r="A24" s="5" t="s">
        <v>281</v>
      </c>
      <c r="B24" s="110">
        <f t="shared" ref="B24:N24" si="2">B22-B23</f>
        <v>3640.3951347555558</v>
      </c>
      <c r="C24" s="110">
        <f t="shared" si="2"/>
        <v>7454.0334036044078</v>
      </c>
      <c r="D24" s="110">
        <f t="shared" si="2"/>
        <v>5405.4013314566328</v>
      </c>
      <c r="E24" s="110">
        <f t="shared" si="2"/>
        <v>-541.44479247646086</v>
      </c>
      <c r="F24" s="110">
        <f t="shared" si="2"/>
        <v>11919.396918802588</v>
      </c>
      <c r="G24" s="110">
        <f t="shared" si="2"/>
        <v>9486.184201709184</v>
      </c>
      <c r="H24" s="110">
        <f t="shared" si="2"/>
        <v>0</v>
      </c>
      <c r="I24" s="110">
        <f t="shared" si="2"/>
        <v>0</v>
      </c>
      <c r="J24" s="110">
        <f t="shared" si="2"/>
        <v>0</v>
      </c>
      <c r="K24" s="110">
        <f t="shared" si="2"/>
        <v>0</v>
      </c>
      <c r="L24" s="110">
        <f t="shared" si="2"/>
        <v>0</v>
      </c>
      <c r="M24" s="110">
        <f t="shared" si="2"/>
        <v>0</v>
      </c>
      <c r="N24" s="110">
        <f t="shared" si="2"/>
        <v>37363.966197851929</v>
      </c>
    </row>
    <row r="25" spans="1:14" x14ac:dyDescent="0.25">
      <c r="A25" s="5" t="s">
        <v>282</v>
      </c>
      <c r="B25" s="111">
        <f>(B22/B23)-1</f>
        <v>9.1807212845841812E-2</v>
      </c>
      <c r="C25" s="111">
        <f t="shared" ref="C25:M25" si="3">(C22/C23)-1</f>
        <v>0.19398826664868518</v>
      </c>
      <c r="D25" s="111">
        <f t="shared" si="3"/>
        <v>0.13660148896783175</v>
      </c>
      <c r="E25" s="111">
        <f t="shared" si="3"/>
        <v>-1.2246157136541314E-2</v>
      </c>
      <c r="F25" s="111">
        <f t="shared" si="3"/>
        <v>0.26453686178829527</v>
      </c>
      <c r="G25" s="111">
        <f t="shared" si="3"/>
        <v>0.20293119372741875</v>
      </c>
      <c r="H25" s="111" t="e">
        <f t="shared" si="3"/>
        <v>#DIV/0!</v>
      </c>
      <c r="I25" s="111" t="e">
        <f t="shared" si="3"/>
        <v>#DIV/0!</v>
      </c>
      <c r="J25" s="111" t="e">
        <f t="shared" si="3"/>
        <v>#DIV/0!</v>
      </c>
      <c r="K25" s="111" t="e">
        <f t="shared" si="3"/>
        <v>#DIV/0!</v>
      </c>
      <c r="L25" s="111" t="e">
        <f t="shared" si="3"/>
        <v>#DIV/0!</v>
      </c>
      <c r="M25" s="111" t="e">
        <f t="shared" si="3"/>
        <v>#DIV/0!</v>
      </c>
      <c r="N25" s="111">
        <f>(N22/N23)-1</f>
        <v>0.14729636236629418</v>
      </c>
    </row>
  </sheetData>
  <mergeCells count="3">
    <mergeCell ref="B3:M3"/>
    <mergeCell ref="B12:M12"/>
    <mergeCell ref="B20:M20"/>
  </mergeCells>
  <conditionalFormatting sqref="B5:M5">
    <cfRule type="expression" dxfId="2" priority="3">
      <formula>MAX($B$5:$M$5)=B5</formula>
    </cfRule>
  </conditionalFormatting>
  <conditionalFormatting sqref="B6:M6">
    <cfRule type="expression" dxfId="1" priority="2">
      <formula>MAX($B$6:$M$6)=B6</formula>
    </cfRule>
  </conditionalFormatting>
  <conditionalFormatting sqref="B7:M7">
    <cfRule type="expression" dxfId="0" priority="1">
      <formula>MAX($B$7:$M$7)=B7</formula>
    </cfRule>
  </conditionalFormatting>
  <printOptions headings="1"/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N25"/>
  <sheetViews>
    <sheetView workbookViewId="0">
      <selection activeCell="B20" sqref="B20:M20"/>
    </sheetView>
  </sheetViews>
  <sheetFormatPr baseColWidth="10" defaultRowHeight="15" x14ac:dyDescent="0.25"/>
  <cols>
    <col min="2" max="13" width="11.7109375" customWidth="1"/>
  </cols>
  <sheetData>
    <row r="3" spans="1:14" ht="18.75" x14ac:dyDescent="0.3">
      <c r="B3" s="232" t="s">
        <v>283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1:14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4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4" x14ac:dyDescent="0.25">
      <c r="A6" s="3" t="s">
        <v>13</v>
      </c>
      <c r="B6" s="1">
        <v>17575.54</v>
      </c>
      <c r="C6" s="1">
        <v>22411</v>
      </c>
      <c r="D6" s="1">
        <v>27660</v>
      </c>
      <c r="E6" s="1">
        <v>21902.17</v>
      </c>
      <c r="F6" s="1">
        <v>20438</v>
      </c>
      <c r="G6" s="1">
        <v>24510</v>
      </c>
      <c r="H6" s="1">
        <v>22124.799999999999</v>
      </c>
      <c r="I6" s="1">
        <v>12902.28</v>
      </c>
      <c r="J6" s="1">
        <v>21104.400000000001</v>
      </c>
      <c r="K6" s="1">
        <v>28636.810000000005</v>
      </c>
      <c r="L6" s="1">
        <v>26141.219999999998</v>
      </c>
      <c r="M6" s="1">
        <v>27510</v>
      </c>
    </row>
    <row r="7" spans="1:14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6255</v>
      </c>
      <c r="J7" s="1">
        <v>8005</v>
      </c>
      <c r="K7" s="1">
        <v>8405</v>
      </c>
      <c r="L7" s="1">
        <v>9225</v>
      </c>
      <c r="M7" s="1">
        <v>7856</v>
      </c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2" spans="1:14" ht="18.75" x14ac:dyDescent="0.3">
      <c r="B12" s="233" t="s">
        <v>284</v>
      </c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</row>
    <row r="13" spans="1:14" x14ac:dyDescent="0.25"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2" t="s">
        <v>5</v>
      </c>
      <c r="H13" s="2" t="s">
        <v>6</v>
      </c>
      <c r="I13" s="2" t="s">
        <v>7</v>
      </c>
      <c r="J13" s="2" t="s">
        <v>8</v>
      </c>
      <c r="K13" s="2" t="s">
        <v>9</v>
      </c>
      <c r="L13" s="2" t="s">
        <v>10</v>
      </c>
      <c r="M13" s="2" t="s">
        <v>11</v>
      </c>
    </row>
    <row r="14" spans="1:14" x14ac:dyDescent="0.25">
      <c r="A14" s="3" t="s">
        <v>12</v>
      </c>
      <c r="B14" s="1">
        <v>18432</v>
      </c>
      <c r="C14" s="1">
        <v>13939.90446365051</v>
      </c>
      <c r="D14" s="1">
        <v>14168.541640361498</v>
      </c>
      <c r="E14" s="1">
        <v>12375.320555887007</v>
      </c>
      <c r="F14" s="1">
        <v>16044.765620886301</v>
      </c>
      <c r="G14" s="1">
        <v>12856.958392766643</v>
      </c>
      <c r="H14" s="1">
        <v>15650.909285612935</v>
      </c>
      <c r="I14" s="1">
        <v>14980.632322197245</v>
      </c>
      <c r="J14" s="1">
        <v>14752.303457101234</v>
      </c>
      <c r="K14" s="1">
        <v>13623.299026104292</v>
      </c>
      <c r="L14" s="1">
        <v>14589.765195117912</v>
      </c>
      <c r="M14" s="1">
        <v>14220</v>
      </c>
      <c r="N14" s="110"/>
    </row>
    <row r="15" spans="1:14" x14ac:dyDescent="0.25">
      <c r="A15" s="3" t="s">
        <v>13</v>
      </c>
      <c r="B15" s="1">
        <v>22613</v>
      </c>
      <c r="C15" s="1">
        <v>16616.668017044904</v>
      </c>
      <c r="D15" s="1">
        <v>24228.807589653454</v>
      </c>
      <c r="E15" s="1">
        <v>19580.280176603312</v>
      </c>
      <c r="F15" s="1">
        <v>21829.310780741354</v>
      </c>
      <c r="G15" s="1">
        <v>18560.67568407354</v>
      </c>
      <c r="H15" s="1">
        <v>20101.912081229289</v>
      </c>
      <c r="I15" s="1">
        <v>22607</v>
      </c>
      <c r="J15" s="1">
        <v>22463.087526186238</v>
      </c>
      <c r="K15" s="1">
        <v>25452.806658554029</v>
      </c>
      <c r="L15" s="1">
        <v>26447.724839869672</v>
      </c>
      <c r="M15" s="1">
        <v>25633</v>
      </c>
      <c r="N15" s="110"/>
    </row>
    <row r="16" spans="1:14" x14ac:dyDescent="0.25">
      <c r="A16" s="3" t="s">
        <v>14</v>
      </c>
      <c r="B16" s="1">
        <v>5613.1528423912323</v>
      </c>
      <c r="C16" s="1">
        <v>5480.5409205095984</v>
      </c>
      <c r="D16" s="1">
        <v>8857.8113237367143</v>
      </c>
      <c r="E16" s="1">
        <v>4367.961469885563</v>
      </c>
      <c r="F16" s="1">
        <v>4238</v>
      </c>
      <c r="G16" s="1">
        <v>5714</v>
      </c>
      <c r="H16" s="1">
        <v>4850</v>
      </c>
      <c r="I16" s="1">
        <v>5021</v>
      </c>
      <c r="J16" s="1">
        <v>3274.2826758370475</v>
      </c>
      <c r="K16" s="1">
        <v>10608.561416198829</v>
      </c>
      <c r="L16" s="1">
        <v>5518.5376077692854</v>
      </c>
      <c r="M16" s="1">
        <v>3674.7194713980025</v>
      </c>
      <c r="N16" s="110"/>
    </row>
    <row r="20" spans="1:14" ht="18.75" x14ac:dyDescent="0.3">
      <c r="B20" s="234" t="s">
        <v>285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</row>
    <row r="21" spans="1:14" x14ac:dyDescent="0.25">
      <c r="A21" s="3" t="s">
        <v>278</v>
      </c>
      <c r="B21" s="2" t="s">
        <v>0</v>
      </c>
      <c r="C21" s="2" t="s">
        <v>1</v>
      </c>
      <c r="D21" s="2" t="s">
        <v>2</v>
      </c>
      <c r="E21" s="2" t="s">
        <v>3</v>
      </c>
      <c r="F21" s="2" t="s">
        <v>4</v>
      </c>
      <c r="G21" s="2" t="s">
        <v>5</v>
      </c>
      <c r="H21" s="2" t="s">
        <v>6</v>
      </c>
      <c r="I21" s="2" t="s">
        <v>7</v>
      </c>
      <c r="J21" s="2" t="s">
        <v>8</v>
      </c>
      <c r="K21" s="2" t="s">
        <v>9</v>
      </c>
      <c r="L21" s="2" t="s">
        <v>10</v>
      </c>
      <c r="M21" s="2" t="s">
        <v>11</v>
      </c>
      <c r="N21" s="3" t="s">
        <v>278</v>
      </c>
    </row>
    <row r="22" spans="1:14" x14ac:dyDescent="0.25">
      <c r="A22" s="3" t="s">
        <v>279</v>
      </c>
      <c r="B22" s="110">
        <f>SUM(B5:B7)</f>
        <v>39578.54</v>
      </c>
      <c r="C22" s="110">
        <f t="shared" ref="C22:M22" si="0">SUM(C5:C7)</f>
        <v>47076</v>
      </c>
      <c r="D22" s="110">
        <f t="shared" si="0"/>
        <v>50096</v>
      </c>
      <c r="E22" s="110">
        <f t="shared" si="0"/>
        <v>41797.17</v>
      </c>
      <c r="F22" s="110">
        <f t="shared" si="0"/>
        <v>47969</v>
      </c>
      <c r="G22" s="110">
        <f t="shared" si="0"/>
        <v>49160</v>
      </c>
      <c r="H22" s="110">
        <f t="shared" si="0"/>
        <v>45519.8</v>
      </c>
      <c r="I22" s="110">
        <f t="shared" si="0"/>
        <v>37913.279999999999</v>
      </c>
      <c r="J22" s="110">
        <f t="shared" si="0"/>
        <v>42653.4</v>
      </c>
      <c r="K22" s="110">
        <f t="shared" si="0"/>
        <v>55781.810000000005</v>
      </c>
      <c r="L22" s="110">
        <f t="shared" si="0"/>
        <v>55376.22</v>
      </c>
      <c r="M22" s="110">
        <f t="shared" si="0"/>
        <v>55029</v>
      </c>
      <c r="N22" s="110">
        <f>SUM(B22:M22)</f>
        <v>567950.22000000009</v>
      </c>
    </row>
    <row r="23" spans="1:14" x14ac:dyDescent="0.25">
      <c r="A23" s="3" t="s">
        <v>280</v>
      </c>
      <c r="B23" s="110">
        <f>SUM(B14:B16)</f>
        <v>46658.152842391231</v>
      </c>
      <c r="C23" s="110">
        <f t="shared" ref="C23:M23" si="1">SUM(C14:C16)</f>
        <v>36037.11340120501</v>
      </c>
      <c r="D23" s="110">
        <f t="shared" si="1"/>
        <v>47255.160553751666</v>
      </c>
      <c r="E23" s="110">
        <f t="shared" si="1"/>
        <v>36323.562202375884</v>
      </c>
      <c r="F23" s="110">
        <f t="shared" si="1"/>
        <v>42112.076401627652</v>
      </c>
      <c r="G23" s="110">
        <f t="shared" si="1"/>
        <v>37131.634076840186</v>
      </c>
      <c r="H23" s="110">
        <f t="shared" si="1"/>
        <v>40602.821366842225</v>
      </c>
      <c r="I23" s="110">
        <f t="shared" si="1"/>
        <v>42608.632322197242</v>
      </c>
      <c r="J23" s="110">
        <f t="shared" si="1"/>
        <v>40489.673659124521</v>
      </c>
      <c r="K23" s="110">
        <f t="shared" si="1"/>
        <v>49684.66710085715</v>
      </c>
      <c r="L23" s="110">
        <f t="shared" si="1"/>
        <v>46556.027642756868</v>
      </c>
      <c r="M23" s="110">
        <f t="shared" si="1"/>
        <v>43527.719471397999</v>
      </c>
      <c r="N23" s="110">
        <f>SUM(B23:M23)</f>
        <v>508987.24104136758</v>
      </c>
    </row>
    <row r="24" spans="1:14" x14ac:dyDescent="0.25">
      <c r="A24" s="3" t="s">
        <v>281</v>
      </c>
      <c r="B24" s="110">
        <f>ROUND(B22-B23,0)</f>
        <v>-7080</v>
      </c>
      <c r="C24" s="110">
        <f t="shared" ref="C24:M24" si="2">ROUND(C22-C23,0)</f>
        <v>11039</v>
      </c>
      <c r="D24" s="110">
        <f t="shared" si="2"/>
        <v>2841</v>
      </c>
      <c r="E24" s="110">
        <f t="shared" si="2"/>
        <v>5474</v>
      </c>
      <c r="F24" s="110">
        <f t="shared" si="2"/>
        <v>5857</v>
      </c>
      <c r="G24" s="110">
        <f t="shared" si="2"/>
        <v>12028</v>
      </c>
      <c r="H24" s="110">
        <f t="shared" si="2"/>
        <v>4917</v>
      </c>
      <c r="I24" s="110">
        <f t="shared" si="2"/>
        <v>-4695</v>
      </c>
      <c r="J24" s="110">
        <f t="shared" si="2"/>
        <v>2164</v>
      </c>
      <c r="K24" s="110">
        <f t="shared" si="2"/>
        <v>6097</v>
      </c>
      <c r="L24" s="110">
        <f t="shared" si="2"/>
        <v>8820</v>
      </c>
      <c r="M24" s="110">
        <f t="shared" si="2"/>
        <v>11501</v>
      </c>
      <c r="N24" s="110">
        <f>N22-N23</f>
        <v>58962.978958632506</v>
      </c>
    </row>
    <row r="25" spans="1:14" x14ac:dyDescent="0.25">
      <c r="A25" s="3" t="s">
        <v>282</v>
      </c>
      <c r="B25" s="111">
        <f>(B22/B23)-1</f>
        <v>-0.15173367163303242</v>
      </c>
      <c r="C25" s="111">
        <f t="shared" ref="C25:N25" si="3">(C22/C23)-1</f>
        <v>0.30631994510486704</v>
      </c>
      <c r="D25" s="111">
        <f t="shared" si="3"/>
        <v>6.011702029912569E-2</v>
      </c>
      <c r="E25" s="111">
        <f t="shared" si="3"/>
        <v>0.15069028106681914</v>
      </c>
      <c r="F25" s="111">
        <f t="shared" si="3"/>
        <v>0.1390794303874785</v>
      </c>
      <c r="G25" s="111">
        <f t="shared" si="3"/>
        <v>0.32393850209415298</v>
      </c>
      <c r="H25" s="111">
        <f t="shared" si="3"/>
        <v>0.12109943269048706</v>
      </c>
      <c r="I25" s="111">
        <f t="shared" si="3"/>
        <v>-0.1101972080843151</v>
      </c>
      <c r="J25" s="111">
        <f t="shared" si="3"/>
        <v>5.343896715719465E-2</v>
      </c>
      <c r="K25" s="111">
        <f t="shared" si="3"/>
        <v>0.12271679081125741</v>
      </c>
      <c r="L25" s="111">
        <f t="shared" si="3"/>
        <v>0.18945328465143163</v>
      </c>
      <c r="M25" s="111">
        <f t="shared" si="3"/>
        <v>0.2642288791665155</v>
      </c>
      <c r="N25" s="111">
        <f t="shared" si="3"/>
        <v>0.11584372692328526</v>
      </c>
    </row>
  </sheetData>
  <mergeCells count="3">
    <mergeCell ref="B3:M3"/>
    <mergeCell ref="B12:M12"/>
    <mergeCell ref="B20:M2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>
      <selection activeCell="A27" sqref="A27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2" x14ac:dyDescent="0.25">
      <c r="A1" s="16" t="s">
        <v>268</v>
      </c>
    </row>
    <row r="2" spans="1:12" ht="15.75" thickBot="1" x14ac:dyDescent="0.3">
      <c r="A2" s="16"/>
    </row>
    <row r="3" spans="1:12" ht="21" customHeight="1" thickTop="1" thickBot="1" x14ac:dyDescent="0.3">
      <c r="A3" s="237" t="s">
        <v>118</v>
      </c>
      <c r="B3" s="237"/>
      <c r="D3" s="241" t="s">
        <v>132</v>
      </c>
      <c r="E3" s="241"/>
      <c r="G3" s="237" t="s">
        <v>62</v>
      </c>
      <c r="H3" s="237"/>
      <c r="J3" s="237" t="s">
        <v>119</v>
      </c>
      <c r="K3" s="237"/>
    </row>
    <row r="4" spans="1:12" ht="16.5" thickTop="1" thickBot="1" x14ac:dyDescent="0.3">
      <c r="A4" s="13" t="s">
        <v>180</v>
      </c>
      <c r="B4" s="20" t="s">
        <v>215</v>
      </c>
      <c r="D4" s="241"/>
      <c r="E4" s="241"/>
      <c r="G4" s="238" t="s">
        <v>120</v>
      </c>
      <c r="H4" s="239"/>
      <c r="J4" s="240" t="s">
        <v>121</v>
      </c>
      <c r="K4" s="240"/>
    </row>
    <row r="5" spans="1:12" ht="16.5" thickTop="1" thickBot="1" x14ac:dyDescent="0.3">
      <c r="A5" s="14" t="s">
        <v>99</v>
      </c>
      <c r="B5" s="12" t="s">
        <v>48</v>
      </c>
      <c r="D5" s="235" t="s">
        <v>133</v>
      </c>
      <c r="E5" s="236"/>
      <c r="G5" s="62" t="s">
        <v>193</v>
      </c>
      <c r="H5" s="20" t="s">
        <v>122</v>
      </c>
      <c r="J5" s="240" t="s">
        <v>123</v>
      </c>
      <c r="K5" s="240"/>
    </row>
    <row r="6" spans="1:12" ht="16.5" thickTop="1" thickBot="1" x14ac:dyDescent="0.3">
      <c r="A6" s="14" t="s">
        <v>26</v>
      </c>
      <c r="B6" s="12" t="s">
        <v>106</v>
      </c>
      <c r="D6" s="13" t="s">
        <v>128</v>
      </c>
      <c r="E6" s="20" t="s">
        <v>134</v>
      </c>
      <c r="G6" s="63" t="s">
        <v>124</v>
      </c>
      <c r="H6" s="17" t="s">
        <v>117</v>
      </c>
      <c r="J6" s="240" t="s">
        <v>125</v>
      </c>
      <c r="K6" s="240"/>
      <c r="L6" s="18"/>
    </row>
    <row r="7" spans="1:12" ht="16.5" thickTop="1" thickBot="1" x14ac:dyDescent="0.3">
      <c r="A7" s="14" t="s">
        <v>27</v>
      </c>
      <c r="B7" s="12" t="s">
        <v>107</v>
      </c>
      <c r="D7" s="14" t="s">
        <v>135</v>
      </c>
      <c r="E7" s="17" t="s">
        <v>136</v>
      </c>
      <c r="G7" s="63" t="s">
        <v>194</v>
      </c>
      <c r="H7" s="17" t="s">
        <v>195</v>
      </c>
      <c r="J7" s="240" t="s">
        <v>126</v>
      </c>
      <c r="K7" s="240"/>
    </row>
    <row r="8" spans="1:12" ht="16.5" thickTop="1" thickBot="1" x14ac:dyDescent="0.3">
      <c r="A8" s="14" t="s">
        <v>181</v>
      </c>
      <c r="B8" s="17" t="s">
        <v>248</v>
      </c>
      <c r="D8" s="14" t="s">
        <v>137</v>
      </c>
      <c r="E8" s="17" t="s">
        <v>138</v>
      </c>
      <c r="G8" s="63" t="s">
        <v>196</v>
      </c>
      <c r="H8" s="17" t="s">
        <v>197</v>
      </c>
      <c r="J8" s="240" t="s">
        <v>127</v>
      </c>
      <c r="K8" s="240"/>
    </row>
    <row r="9" spans="1:12" ht="15.75" thickTop="1" x14ac:dyDescent="0.25">
      <c r="A9" s="14" t="s">
        <v>108</v>
      </c>
      <c r="B9" s="12" t="s">
        <v>28</v>
      </c>
      <c r="D9" s="14" t="s">
        <v>139</v>
      </c>
      <c r="E9" s="17" t="s">
        <v>140</v>
      </c>
      <c r="G9" s="63" t="s">
        <v>128</v>
      </c>
      <c r="H9" s="17" t="s">
        <v>198</v>
      </c>
    </row>
    <row r="10" spans="1:12" x14ac:dyDescent="0.25">
      <c r="A10" s="14" t="s">
        <v>29</v>
      </c>
      <c r="B10" s="12" t="s">
        <v>45</v>
      </c>
      <c r="D10" s="14" t="s">
        <v>141</v>
      </c>
      <c r="E10" s="17" t="s">
        <v>142</v>
      </c>
      <c r="G10" s="63" t="s">
        <v>199</v>
      </c>
      <c r="H10" s="17" t="s">
        <v>200</v>
      </c>
    </row>
    <row r="11" spans="1:12" x14ac:dyDescent="0.25">
      <c r="A11" s="14" t="s">
        <v>109</v>
      </c>
      <c r="B11" s="12" t="s">
        <v>30</v>
      </c>
      <c r="D11" s="14" t="s">
        <v>143</v>
      </c>
      <c r="E11" s="17" t="s">
        <v>144</v>
      </c>
      <c r="G11" s="63" t="s">
        <v>201</v>
      </c>
      <c r="H11" s="17" t="s">
        <v>202</v>
      </c>
    </row>
    <row r="12" spans="1:12" x14ac:dyDescent="0.25">
      <c r="A12" s="14" t="s">
        <v>31</v>
      </c>
      <c r="B12" s="12" t="s">
        <v>32</v>
      </c>
      <c r="D12" s="14" t="s">
        <v>145</v>
      </c>
      <c r="E12" s="17" t="s">
        <v>146</v>
      </c>
      <c r="G12" s="63" t="s">
        <v>203</v>
      </c>
      <c r="H12" s="17" t="s">
        <v>204</v>
      </c>
    </row>
    <row r="13" spans="1:12" ht="15.75" thickBot="1" x14ac:dyDescent="0.3">
      <c r="A13" s="14" t="s">
        <v>33</v>
      </c>
      <c r="B13" s="12" t="s">
        <v>34</v>
      </c>
      <c r="D13" s="14" t="s">
        <v>147</v>
      </c>
      <c r="E13" s="17" t="s">
        <v>148</v>
      </c>
      <c r="G13" s="69" t="s">
        <v>245</v>
      </c>
      <c r="H13" s="70" t="s">
        <v>246</v>
      </c>
    </row>
    <row r="14" spans="1:12" ht="16.5" thickTop="1" thickBot="1" x14ac:dyDescent="0.3">
      <c r="A14" s="14" t="s">
        <v>35</v>
      </c>
      <c r="B14" s="12" t="s">
        <v>46</v>
      </c>
      <c r="D14" s="14" t="s">
        <v>149</v>
      </c>
      <c r="E14" s="17" t="s">
        <v>150</v>
      </c>
      <c r="J14" s="237" t="s">
        <v>187</v>
      </c>
      <c r="K14" s="237"/>
    </row>
    <row r="15" spans="1:12" ht="16.5" thickTop="1" thickBot="1" x14ac:dyDescent="0.3">
      <c r="A15" s="14" t="s">
        <v>110</v>
      </c>
      <c r="B15" s="12" t="s">
        <v>36</v>
      </c>
      <c r="D15" s="14" t="s">
        <v>151</v>
      </c>
      <c r="E15" s="17" t="s">
        <v>152</v>
      </c>
      <c r="G15" s="202" t="s">
        <v>129</v>
      </c>
      <c r="H15" s="204"/>
      <c r="J15" s="202" t="s">
        <v>165</v>
      </c>
      <c r="K15" s="204"/>
    </row>
    <row r="16" spans="1:12" x14ac:dyDescent="0.25">
      <c r="A16" s="14" t="s">
        <v>37</v>
      </c>
      <c r="B16" s="12" t="s">
        <v>38</v>
      </c>
      <c r="D16" s="14" t="s">
        <v>153</v>
      </c>
      <c r="E16" s="17" t="s">
        <v>154</v>
      </c>
      <c r="G16" s="11" t="s">
        <v>63</v>
      </c>
      <c r="H16" s="17" t="s">
        <v>56</v>
      </c>
      <c r="J16" s="248" t="s">
        <v>220</v>
      </c>
      <c r="K16" s="249"/>
    </row>
    <row r="17" spans="1:11" x14ac:dyDescent="0.25">
      <c r="A17" s="14" t="s">
        <v>39</v>
      </c>
      <c r="B17" s="12" t="s">
        <v>101</v>
      </c>
      <c r="D17" s="14" t="s">
        <v>155</v>
      </c>
      <c r="E17" s="17" t="s">
        <v>156</v>
      </c>
      <c r="G17" s="11" t="s">
        <v>64</v>
      </c>
      <c r="H17" s="17" t="s">
        <v>58</v>
      </c>
      <c r="J17" s="62" t="s">
        <v>109</v>
      </c>
      <c r="K17" s="23" t="s">
        <v>30</v>
      </c>
    </row>
    <row r="18" spans="1:11" x14ac:dyDescent="0.25">
      <c r="A18" s="14" t="s">
        <v>40</v>
      </c>
      <c r="B18" s="12" t="s">
        <v>47</v>
      </c>
      <c r="D18" s="14" t="s">
        <v>157</v>
      </c>
      <c r="E18" s="17" t="s">
        <v>158</v>
      </c>
      <c r="G18" s="11" t="s">
        <v>65</v>
      </c>
      <c r="H18" s="17" t="s">
        <v>60</v>
      </c>
      <c r="J18" s="63" t="s">
        <v>110</v>
      </c>
      <c r="K18" s="12" t="s">
        <v>36</v>
      </c>
    </row>
    <row r="19" spans="1:11" x14ac:dyDescent="0.25">
      <c r="A19" s="14" t="s">
        <v>111</v>
      </c>
      <c r="B19" s="12" t="s">
        <v>41</v>
      </c>
      <c r="D19" s="14" t="s">
        <v>159</v>
      </c>
      <c r="E19" s="17" t="s">
        <v>160</v>
      </c>
      <c r="G19" s="11" t="s">
        <v>66</v>
      </c>
      <c r="H19" s="17" t="s">
        <v>56</v>
      </c>
      <c r="J19" s="63" t="s">
        <v>111</v>
      </c>
      <c r="K19" s="12" t="s">
        <v>41</v>
      </c>
    </row>
    <row r="20" spans="1:11" x14ac:dyDescent="0.25">
      <c r="A20" s="14" t="s">
        <v>42</v>
      </c>
      <c r="B20" s="12" t="s">
        <v>43</v>
      </c>
      <c r="D20" s="15" t="s">
        <v>161</v>
      </c>
      <c r="E20" s="19" t="s">
        <v>162</v>
      </c>
      <c r="G20" s="11" t="s">
        <v>67</v>
      </c>
      <c r="H20" s="17" t="s">
        <v>68</v>
      </c>
      <c r="J20" s="63"/>
      <c r="K20" s="12"/>
    </row>
    <row r="21" spans="1:11" ht="15.75" thickBot="1" x14ac:dyDescent="0.3">
      <c r="A21" s="14" t="s">
        <v>44</v>
      </c>
      <c r="B21" s="12" t="s">
        <v>102</v>
      </c>
      <c r="G21" s="11" t="s">
        <v>69</v>
      </c>
      <c r="H21" s="17" t="s">
        <v>58</v>
      </c>
      <c r="J21" s="212" t="s">
        <v>221</v>
      </c>
      <c r="K21" s="214"/>
    </row>
    <row r="22" spans="1:11" ht="15.75" thickTop="1" x14ac:dyDescent="0.25">
      <c r="A22" s="14" t="s">
        <v>182</v>
      </c>
      <c r="B22" s="12" t="s">
        <v>183</v>
      </c>
      <c r="D22" s="235" t="s">
        <v>249</v>
      </c>
      <c r="E22" s="236"/>
      <c r="G22" s="11" t="s">
        <v>70</v>
      </c>
      <c r="H22" s="17" t="s">
        <v>71</v>
      </c>
      <c r="J22" s="63" t="s">
        <v>33</v>
      </c>
      <c r="K22" s="12" t="s">
        <v>34</v>
      </c>
    </row>
    <row r="23" spans="1:11" x14ac:dyDescent="0.25">
      <c r="A23" s="14" t="s">
        <v>184</v>
      </c>
      <c r="B23" s="12" t="s">
        <v>185</v>
      </c>
      <c r="D23" s="13" t="s">
        <v>188</v>
      </c>
      <c r="E23" s="20" t="s">
        <v>189</v>
      </c>
      <c r="G23" s="11" t="s">
        <v>72</v>
      </c>
      <c r="H23" s="17" t="s">
        <v>60</v>
      </c>
      <c r="J23" s="63" t="s">
        <v>39</v>
      </c>
      <c r="K23" s="12" t="s">
        <v>101</v>
      </c>
    </row>
    <row r="24" spans="1:11" x14ac:dyDescent="0.25">
      <c r="A24" s="14" t="s">
        <v>103</v>
      </c>
      <c r="B24" s="12" t="s">
        <v>104</v>
      </c>
      <c r="D24" s="14" t="s">
        <v>190</v>
      </c>
      <c r="E24" s="17" t="s">
        <v>191</v>
      </c>
      <c r="G24" s="11" t="s">
        <v>73</v>
      </c>
      <c r="H24" s="17" t="s">
        <v>74</v>
      </c>
      <c r="J24" s="63" t="s">
        <v>44</v>
      </c>
      <c r="K24" s="12" t="s">
        <v>102</v>
      </c>
    </row>
    <row r="25" spans="1:11" x14ac:dyDescent="0.25">
      <c r="A25" s="14" t="s">
        <v>112</v>
      </c>
      <c r="B25" s="12" t="s">
        <v>105</v>
      </c>
      <c r="D25" s="15" t="s">
        <v>64</v>
      </c>
      <c r="E25" s="19" t="s">
        <v>192</v>
      </c>
      <c r="G25" s="11" t="s">
        <v>75</v>
      </c>
      <c r="H25" s="17" t="s">
        <v>76</v>
      </c>
      <c r="J25" s="63"/>
      <c r="K25" s="12"/>
    </row>
    <row r="26" spans="1:11" x14ac:dyDescent="0.25">
      <c r="A26" s="15" t="s">
        <v>186</v>
      </c>
      <c r="B26" s="19" t="s">
        <v>247</v>
      </c>
      <c r="G26" s="11" t="s">
        <v>77</v>
      </c>
      <c r="H26" s="17" t="s">
        <v>78</v>
      </c>
      <c r="J26" s="212" t="s">
        <v>222</v>
      </c>
      <c r="K26" s="214"/>
    </row>
    <row r="27" spans="1:11" x14ac:dyDescent="0.25">
      <c r="G27" s="11" t="s">
        <v>79</v>
      </c>
      <c r="H27" s="17" t="s">
        <v>80</v>
      </c>
      <c r="J27" s="21" t="s">
        <v>112</v>
      </c>
      <c r="K27" s="22" t="s">
        <v>105</v>
      </c>
    </row>
    <row r="28" spans="1:11" ht="15.75" thickBot="1" x14ac:dyDescent="0.3">
      <c r="G28" s="11" t="s">
        <v>81</v>
      </c>
      <c r="H28" s="17" t="s">
        <v>82</v>
      </c>
    </row>
    <row r="29" spans="1:11" ht="15.75" thickBot="1" x14ac:dyDescent="0.3">
      <c r="G29" s="11" t="s">
        <v>83</v>
      </c>
      <c r="H29" s="17" t="s">
        <v>84</v>
      </c>
      <c r="J29" s="246" t="s">
        <v>250</v>
      </c>
      <c r="K29" s="247"/>
    </row>
    <row r="30" spans="1:11" x14ac:dyDescent="0.25">
      <c r="G30" s="11" t="s">
        <v>85</v>
      </c>
      <c r="H30" s="17" t="s">
        <v>86</v>
      </c>
      <c r="J30" s="244" t="s">
        <v>223</v>
      </c>
      <c r="K30" s="245"/>
    </row>
    <row r="31" spans="1:11" x14ac:dyDescent="0.25">
      <c r="G31" s="11" t="s">
        <v>116</v>
      </c>
      <c r="H31" s="17" t="s">
        <v>117</v>
      </c>
      <c r="J31" s="64" t="s">
        <v>166</v>
      </c>
      <c r="K31" s="20" t="s">
        <v>251</v>
      </c>
    </row>
    <row r="32" spans="1:11" x14ac:dyDescent="0.25">
      <c r="G32" s="11" t="s">
        <v>87</v>
      </c>
      <c r="H32" s="17" t="s">
        <v>88</v>
      </c>
      <c r="J32" s="65" t="s">
        <v>167</v>
      </c>
      <c r="K32" s="12" t="s">
        <v>169</v>
      </c>
    </row>
    <row r="33" spans="7:11" x14ac:dyDescent="0.25">
      <c r="G33" s="11" t="s">
        <v>89</v>
      </c>
      <c r="H33" s="17" t="s">
        <v>90</v>
      </c>
      <c r="J33" s="65" t="s">
        <v>168</v>
      </c>
      <c r="K33" s="17" t="s">
        <v>252</v>
      </c>
    </row>
    <row r="34" spans="7:11" x14ac:dyDescent="0.25">
      <c r="G34" s="11" t="s">
        <v>91</v>
      </c>
      <c r="H34" s="17" t="s">
        <v>92</v>
      </c>
      <c r="J34" s="65" t="s">
        <v>167</v>
      </c>
      <c r="K34" s="12" t="s">
        <v>170</v>
      </c>
    </row>
    <row r="35" spans="7:11" x14ac:dyDescent="0.25">
      <c r="G35" s="11" t="s">
        <v>93</v>
      </c>
      <c r="H35" s="17" t="s">
        <v>94</v>
      </c>
      <c r="J35" s="65" t="s">
        <v>168</v>
      </c>
      <c r="K35" s="17" t="s">
        <v>253</v>
      </c>
    </row>
    <row r="36" spans="7:11" x14ac:dyDescent="0.25">
      <c r="G36" s="11" t="s">
        <v>95</v>
      </c>
      <c r="H36" s="17" t="s">
        <v>96</v>
      </c>
      <c r="J36" s="65" t="s">
        <v>167</v>
      </c>
      <c r="K36" s="12" t="s">
        <v>171</v>
      </c>
    </row>
    <row r="37" spans="7:11" x14ac:dyDescent="0.25">
      <c r="G37" s="11" t="s">
        <v>97</v>
      </c>
      <c r="H37" s="17" t="s">
        <v>98</v>
      </c>
      <c r="J37" s="65" t="s">
        <v>168</v>
      </c>
      <c r="K37" s="17" t="s">
        <v>254</v>
      </c>
    </row>
    <row r="38" spans="7:11" ht="15.75" thickBot="1" x14ac:dyDescent="0.3">
      <c r="G38" s="11" t="s">
        <v>49</v>
      </c>
      <c r="H38" s="17" t="s">
        <v>131</v>
      </c>
      <c r="J38" s="76"/>
      <c r="K38" s="77"/>
    </row>
    <row r="39" spans="7:11" x14ac:dyDescent="0.25">
      <c r="G39" s="11" t="s">
        <v>50</v>
      </c>
      <c r="H39" s="17" t="s">
        <v>113</v>
      </c>
      <c r="J39" s="244" t="s">
        <v>224</v>
      </c>
      <c r="K39" s="245"/>
    </row>
    <row r="40" spans="7:11" x14ac:dyDescent="0.25">
      <c r="G40" s="11" t="s">
        <v>51</v>
      </c>
      <c r="H40" s="17" t="s">
        <v>57</v>
      </c>
      <c r="J40" s="64" t="s">
        <v>166</v>
      </c>
      <c r="K40" s="20" t="s">
        <v>251</v>
      </c>
    </row>
    <row r="41" spans="7:11" x14ac:dyDescent="0.25">
      <c r="G41" s="11" t="s">
        <v>52</v>
      </c>
      <c r="H41" s="17" t="s">
        <v>114</v>
      </c>
      <c r="J41" s="65" t="s">
        <v>167</v>
      </c>
      <c r="K41" s="12" t="s">
        <v>169</v>
      </c>
    </row>
    <row r="42" spans="7:11" x14ac:dyDescent="0.25">
      <c r="G42" s="11" t="s">
        <v>53</v>
      </c>
      <c r="H42" s="17" t="s">
        <v>59</v>
      </c>
      <c r="J42" s="65" t="s">
        <v>168</v>
      </c>
      <c r="K42" s="17" t="s">
        <v>255</v>
      </c>
    </row>
    <row r="43" spans="7:11" x14ac:dyDescent="0.25">
      <c r="G43" s="11" t="s">
        <v>54</v>
      </c>
      <c r="H43" s="17" t="s">
        <v>115</v>
      </c>
      <c r="J43" s="65" t="s">
        <v>167</v>
      </c>
      <c r="K43" s="12" t="s">
        <v>170</v>
      </c>
    </row>
    <row r="44" spans="7:11" x14ac:dyDescent="0.25">
      <c r="G44" s="21" t="s">
        <v>55</v>
      </c>
      <c r="H44" s="19" t="s">
        <v>61</v>
      </c>
      <c r="J44" s="65" t="s">
        <v>168</v>
      </c>
      <c r="K44" s="17" t="s">
        <v>256</v>
      </c>
    </row>
    <row r="45" spans="7:11" ht="15.75" thickBot="1" x14ac:dyDescent="0.3">
      <c r="J45" s="65" t="s">
        <v>167</v>
      </c>
      <c r="K45" s="12" t="s">
        <v>171</v>
      </c>
    </row>
    <row r="46" spans="7:11" x14ac:dyDescent="0.25">
      <c r="G46" s="238" t="s">
        <v>232</v>
      </c>
      <c r="H46" s="239"/>
      <c r="J46" s="21" t="s">
        <v>168</v>
      </c>
      <c r="K46" s="19" t="s">
        <v>257</v>
      </c>
    </row>
    <row r="47" spans="7:11" x14ac:dyDescent="0.25">
      <c r="G47" s="64" t="s">
        <v>233</v>
      </c>
      <c r="H47" s="23" t="s">
        <v>179</v>
      </c>
      <c r="J47" s="78"/>
      <c r="K47" s="78"/>
    </row>
    <row r="48" spans="7:11" x14ac:dyDescent="0.25">
      <c r="G48" s="65" t="s">
        <v>234</v>
      </c>
      <c r="H48" s="71" t="s">
        <v>176</v>
      </c>
      <c r="J48" s="13" t="s">
        <v>172</v>
      </c>
      <c r="K48" s="23"/>
    </row>
    <row r="49" spans="7:11" x14ac:dyDescent="0.25">
      <c r="G49" s="65" t="s">
        <v>235</v>
      </c>
      <c r="H49" s="71" t="s">
        <v>177</v>
      </c>
      <c r="J49" s="80" t="s">
        <v>258</v>
      </c>
      <c r="K49" s="12"/>
    </row>
    <row r="50" spans="7:11" x14ac:dyDescent="0.25">
      <c r="G50" s="65" t="s">
        <v>236</v>
      </c>
      <c r="H50" s="71" t="s">
        <v>178</v>
      </c>
      <c r="J50" s="14" t="s">
        <v>173</v>
      </c>
      <c r="K50" s="12"/>
    </row>
    <row r="51" spans="7:11" x14ac:dyDescent="0.25">
      <c r="G51" s="65" t="s">
        <v>237</v>
      </c>
      <c r="H51" s="72" t="s">
        <v>226</v>
      </c>
      <c r="J51" s="79" t="s">
        <v>259</v>
      </c>
      <c r="K51" s="22"/>
    </row>
    <row r="52" spans="7:11" ht="15.75" thickBot="1" x14ac:dyDescent="0.3">
      <c r="G52" s="65" t="s">
        <v>238</v>
      </c>
      <c r="H52" s="73" t="s">
        <v>227</v>
      </c>
    </row>
    <row r="53" spans="7:11" ht="15.75" thickBot="1" x14ac:dyDescent="0.3">
      <c r="G53" s="65" t="s">
        <v>239</v>
      </c>
      <c r="H53" s="73" t="s">
        <v>216</v>
      </c>
      <c r="J53" s="242" t="s">
        <v>293</v>
      </c>
      <c r="K53" s="243"/>
    </row>
    <row r="54" spans="7:11" x14ac:dyDescent="0.25">
      <c r="G54" s="65" t="s">
        <v>240</v>
      </c>
      <c r="H54" s="73" t="s">
        <v>225</v>
      </c>
      <c r="J54" s="244" t="s">
        <v>269</v>
      </c>
      <c r="K54" s="245"/>
    </row>
    <row r="55" spans="7:11" x14ac:dyDescent="0.25">
      <c r="G55" s="74" t="s">
        <v>241</v>
      </c>
      <c r="H55" s="72" t="s">
        <v>228</v>
      </c>
      <c r="J55" s="117" t="s">
        <v>166</v>
      </c>
      <c r="K55" s="20" t="s">
        <v>104</v>
      </c>
    </row>
    <row r="56" spans="7:11" x14ac:dyDescent="0.25">
      <c r="G56" s="74" t="s">
        <v>242</v>
      </c>
      <c r="H56" s="73" t="s">
        <v>229</v>
      </c>
      <c r="J56" s="118" t="s">
        <v>270</v>
      </c>
      <c r="K56" s="12" t="s">
        <v>273</v>
      </c>
    </row>
    <row r="57" spans="7:11" x14ac:dyDescent="0.25">
      <c r="G57" s="74" t="s">
        <v>243</v>
      </c>
      <c r="H57" s="73" t="s">
        <v>230</v>
      </c>
      <c r="J57" s="21" t="s">
        <v>271</v>
      </c>
      <c r="K57" s="19" t="s">
        <v>272</v>
      </c>
    </row>
    <row r="58" spans="7:11" x14ac:dyDescent="0.25">
      <c r="G58" s="69" t="s">
        <v>244</v>
      </c>
      <c r="H58" s="75" t="s">
        <v>231</v>
      </c>
    </row>
    <row r="59" spans="7:11" ht="15.75" thickBot="1" x14ac:dyDescent="0.3"/>
    <row r="60" spans="7:11" x14ac:dyDescent="0.25">
      <c r="G60" s="238" t="s">
        <v>261</v>
      </c>
      <c r="H60" s="239"/>
    </row>
    <row r="61" spans="7:11" x14ac:dyDescent="0.25">
      <c r="G61" s="117" t="s">
        <v>262</v>
      </c>
      <c r="H61" s="20" t="s">
        <v>265</v>
      </c>
    </row>
    <row r="62" spans="7:11" x14ac:dyDescent="0.25">
      <c r="G62" s="118" t="s">
        <v>263</v>
      </c>
      <c r="H62" s="17" t="s">
        <v>266</v>
      </c>
    </row>
    <row r="63" spans="7:11" x14ac:dyDescent="0.25">
      <c r="G63" s="21" t="s">
        <v>264</v>
      </c>
      <c r="H63" s="19" t="s">
        <v>267</v>
      </c>
    </row>
  </sheetData>
  <mergeCells count="25">
    <mergeCell ref="G60:H60"/>
    <mergeCell ref="J53:K53"/>
    <mergeCell ref="J54:K54"/>
    <mergeCell ref="J3:K3"/>
    <mergeCell ref="J29:K29"/>
    <mergeCell ref="J30:K30"/>
    <mergeCell ref="J39:K39"/>
    <mergeCell ref="J15:K15"/>
    <mergeCell ref="J16:K16"/>
    <mergeCell ref="J21:K21"/>
    <mergeCell ref="J26:K26"/>
    <mergeCell ref="A3:B3"/>
    <mergeCell ref="G3:H3"/>
    <mergeCell ref="G4:H4"/>
    <mergeCell ref="G15:H15"/>
    <mergeCell ref="D3:E4"/>
    <mergeCell ref="D5:E5"/>
    <mergeCell ref="D22:E22"/>
    <mergeCell ref="J14:K14"/>
    <mergeCell ref="G46:H46"/>
    <mergeCell ref="J8:K8"/>
    <mergeCell ref="J4:K4"/>
    <mergeCell ref="J5:K5"/>
    <mergeCell ref="J6:K6"/>
    <mergeCell ref="J7:K7"/>
  </mergeCells>
  <printOptions headings="1"/>
  <pageMargins left="0.25" right="0.25" top="0.75" bottom="0.75" header="0.3" footer="0.3"/>
  <pageSetup paperSize="5" scale="52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14</vt:i4>
      </vt:variant>
    </vt:vector>
  </HeadingPairs>
  <TitlesOfParts>
    <vt:vector size="21" baseType="lpstr">
      <vt:lpstr>TDB</vt:lpstr>
      <vt:lpstr>Graphs</vt:lpstr>
      <vt:lpstr>Dates</vt:lpstr>
      <vt:lpstr>Sommaire</vt:lpstr>
      <vt:lpstr>AnneeEnCours</vt:lpstr>
      <vt:lpstr>AnneePrecedente</vt:lpstr>
      <vt:lpstr>Paramètres</vt:lpstr>
      <vt:lpstr>C_ChoixGraph</vt:lpstr>
      <vt:lpstr>C_Mois</vt:lpstr>
      <vt:lpstr>D_Annee</vt:lpstr>
      <vt:lpstr>D_AnneeP</vt:lpstr>
      <vt:lpstr>D_GraphAdresses</vt:lpstr>
      <vt:lpstr>Dept1An</vt:lpstr>
      <vt:lpstr>Dept1AnP</vt:lpstr>
      <vt:lpstr>Dept2An</vt:lpstr>
      <vt:lpstr>Dept2AnP</vt:lpstr>
      <vt:lpstr>Dept3An</vt:lpstr>
      <vt:lpstr>Dept3AnP</vt:lpstr>
      <vt:lpstr>L_Dept</vt:lpstr>
      <vt:lpstr>L_TypeGraphs</vt:lpstr>
      <vt:lpstr>TDB!Zone_d_impression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2014-10-19T19:45:33Z</cp:lastPrinted>
  <dcterms:created xsi:type="dcterms:W3CDTF">2013-08-30T17:45:59Z</dcterms:created>
  <dcterms:modified xsi:type="dcterms:W3CDTF">2015-04-06T18:59:15Z</dcterms:modified>
</cp:coreProperties>
</file>